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a Mileo Yamada\Documents\SESAN Ananindeua\SERGIO RATO\PROCESSO MOCAJATUBA E BEIRA RIO\"/>
    </mc:Choice>
  </mc:AlternateContent>
  <bookViews>
    <workbookView xWindow="0" yWindow="0" windowWidth="21600" windowHeight="9630" tabRatio="867" activeTab="14"/>
  </bookViews>
  <sheets>
    <sheet name="DADOS" sheetId="38" r:id="rId1"/>
    <sheet name="ORÇAMENTO GERAL" sheetId="16" r:id="rId2"/>
    <sheet name="MC-DRE" sheetId="37" r:id="rId3"/>
    <sheet name="MC-TER" sheetId="41" state="hidden" r:id="rId4"/>
    <sheet name="MC-PAV" sheetId="39" r:id="rId5"/>
    <sheet name="CRONOGRAMA" sheetId="26" r:id="rId6"/>
    <sheet name="CPU-I" sheetId="40" state="hidden" r:id="rId7"/>
    <sheet name="CPU-II" sheetId="30" r:id="rId8"/>
    <sheet name="CPU-III" sheetId="29" state="hidden" r:id="rId9"/>
    <sheet name="CPU-IV" sheetId="44" state="hidden" r:id="rId10"/>
    <sheet name="CPU-V" sheetId="36" state="hidden" r:id="rId11"/>
    <sheet name="CPU-VI" sheetId="24" state="hidden" r:id="rId12"/>
    <sheet name="CPU-VII" sheetId="43" state="hidden" r:id="rId13"/>
    <sheet name="ENCARGOS" sheetId="33" r:id="rId14"/>
    <sheet name="BDI" sheetId="34" r:id="rId15"/>
    <sheet name="PV PARA REDE 600" sheetId="35" state="hidden" r:id="rId16"/>
  </sheets>
  <externalReferences>
    <externalReference r:id="rId17"/>
    <externalReference r:id="rId18"/>
  </externalReferences>
  <definedNames>
    <definedName name="_xlnm._FilterDatabase" localSheetId="1" hidden="1">'ORÇAMENTO GERAL'!$A$8:$P$9</definedName>
    <definedName name="_xlnm.Print_Area" localSheetId="10">'CPU-V'!$A$1:$H$35</definedName>
    <definedName name="_xlnm.Print_Area" localSheetId="11">'CPU-VI'!$A$1:$G$46</definedName>
    <definedName name="_xlnm.Print_Area" localSheetId="12">'CPU-VII'!$A$1:$G$45</definedName>
    <definedName name="_xlnm.Print_Area" localSheetId="5">CRONOGRAMA!$A$1:$L$30</definedName>
    <definedName name="_xlnm.Print_Area" localSheetId="0">DADOS!$A$1:$L$29</definedName>
    <definedName name="_xlnm.Print_Area" localSheetId="13">ENCARGOS!$A$1:$F$50</definedName>
    <definedName name="_xlnm.Print_Area" localSheetId="2">'MC-DRE'!$A$1:$R$187</definedName>
    <definedName name="_xlnm.Print_Area" localSheetId="4">'MC-PAV'!$A$1:$Q$24</definedName>
    <definedName name="_xlnm.Print_Area" localSheetId="3">'MC-TER'!$A$1:$S$31</definedName>
    <definedName name="_xlnm.Print_Area" localSheetId="1">'ORÇAMENTO GERAL'!$A$1:$K$127</definedName>
    <definedName name="_xlnm.Print_Titles" localSheetId="2">'MC-DRE'!$1:$6</definedName>
    <definedName name="_xlnm.Print_Titles" localSheetId="1">'ORÇAMENTO GERAL'!$1:$9</definedName>
  </definedNames>
  <calcPr calcId="162913" fullPrecision="0"/>
</workbook>
</file>

<file path=xl/calcChain.xml><?xml version="1.0" encoding="utf-8"?>
<calcChain xmlns="http://schemas.openxmlformats.org/spreadsheetml/2006/main">
  <c r="A7" i="40" l="1"/>
  <c r="I14" i="39"/>
  <c r="H14" i="39" s="1"/>
  <c r="I13" i="39"/>
  <c r="H13" i="39"/>
  <c r="G17" i="41" l="1"/>
  <c r="G18" i="41"/>
  <c r="G19" i="41"/>
  <c r="G20" i="41"/>
  <c r="G21" i="41"/>
  <c r="G22" i="41"/>
  <c r="G23" i="41"/>
  <c r="G24" i="41"/>
  <c r="G25" i="41"/>
  <c r="G26" i="41"/>
  <c r="G27" i="41"/>
  <c r="G28" i="41"/>
  <c r="G29" i="41"/>
  <c r="G30" i="41"/>
  <c r="C131" i="37"/>
  <c r="C132" i="37"/>
  <c r="C133" i="37"/>
  <c r="C134" i="37"/>
  <c r="C135" i="37"/>
  <c r="C136" i="37"/>
  <c r="C137" i="37"/>
  <c r="C130" i="37"/>
  <c r="C142" i="37" s="1"/>
  <c r="H10" i="38" l="1"/>
  <c r="H11" i="38"/>
  <c r="H12" i="38"/>
  <c r="H13" i="38"/>
  <c r="H14" i="38"/>
  <c r="H15" i="38"/>
  <c r="H16" i="38"/>
  <c r="H17" i="38"/>
  <c r="H18" i="38"/>
  <c r="H19" i="38"/>
  <c r="H20" i="38"/>
  <c r="H21" i="38"/>
  <c r="H22" i="38"/>
  <c r="H23" i="38"/>
  <c r="H24" i="38"/>
  <c r="H25" i="38"/>
  <c r="H26" i="38"/>
  <c r="H27" i="38"/>
  <c r="H28" i="38"/>
  <c r="I20" i="38"/>
  <c r="I21" i="38"/>
  <c r="I22" i="38"/>
  <c r="I23" i="38"/>
  <c r="I24" i="38"/>
  <c r="I25" i="38"/>
  <c r="I26" i="38"/>
  <c r="I27" i="38"/>
  <c r="I28" i="38"/>
  <c r="I79" i="16" l="1"/>
  <c r="I41" i="16"/>
  <c r="I51" i="16" s="1"/>
  <c r="I61" i="16" s="1"/>
  <c r="I71" i="16" s="1"/>
  <c r="I81" i="16" s="1"/>
  <c r="I42" i="16"/>
  <c r="I52" i="16" s="1"/>
  <c r="I62" i="16" s="1"/>
  <c r="I72" i="16" s="1"/>
  <c r="I82" i="16" s="1"/>
  <c r="I43" i="16"/>
  <c r="I53" i="16" s="1"/>
  <c r="I63" i="16" s="1"/>
  <c r="I73" i="16" s="1"/>
  <c r="I83" i="16" s="1"/>
  <c r="I44" i="16"/>
  <c r="I54" i="16" s="1"/>
  <c r="I64" i="16" s="1"/>
  <c r="I74" i="16" s="1"/>
  <c r="I84" i="16" s="1"/>
  <c r="I45" i="16"/>
  <c r="I55" i="16" s="1"/>
  <c r="I65" i="16" s="1"/>
  <c r="I75" i="16" s="1"/>
  <c r="I85" i="16" s="1"/>
  <c r="I46" i="16"/>
  <c r="I56" i="16" s="1"/>
  <c r="I66" i="16" s="1"/>
  <c r="I76" i="16" s="1"/>
  <c r="I86" i="16" s="1"/>
  <c r="I40" i="16"/>
  <c r="I50" i="16" s="1"/>
  <c r="I60" i="16" s="1"/>
  <c r="I70" i="16" s="1"/>
  <c r="I80" i="16" s="1"/>
  <c r="E12" i="44" l="1"/>
  <c r="I14" i="16" l="1"/>
  <c r="C186" i="37" l="1"/>
  <c r="G97" i="16" s="1"/>
  <c r="C145" i="37"/>
  <c r="C146" i="37"/>
  <c r="C147" i="37"/>
  <c r="C148" i="37"/>
  <c r="C149" i="37"/>
  <c r="C144" i="37"/>
  <c r="C22" i="37"/>
  <c r="D15" i="41"/>
  <c r="D16" i="41"/>
  <c r="D17" i="41"/>
  <c r="D18" i="41"/>
  <c r="D19" i="41"/>
  <c r="D21" i="41"/>
  <c r="D22" i="41"/>
  <c r="D23" i="41"/>
  <c r="D24" i="41"/>
  <c r="C15" i="41"/>
  <c r="E15" i="41" s="1"/>
  <c r="C16" i="41"/>
  <c r="E16" i="41" s="1"/>
  <c r="C17" i="41"/>
  <c r="C18" i="41"/>
  <c r="C19" i="41"/>
  <c r="C21" i="41"/>
  <c r="E21" i="41" s="1"/>
  <c r="C22" i="41"/>
  <c r="C23" i="41"/>
  <c r="C24" i="41"/>
  <c r="C25" i="41"/>
  <c r="C26" i="41"/>
  <c r="C27" i="41"/>
  <c r="C28" i="41"/>
  <c r="C29" i="41"/>
  <c r="C30" i="41"/>
  <c r="B15" i="41"/>
  <c r="B16" i="41"/>
  <c r="B17" i="41"/>
  <c r="B18" i="41"/>
  <c r="B19" i="41"/>
  <c r="B20" i="41"/>
  <c r="B21" i="41"/>
  <c r="B22" i="41"/>
  <c r="B23" i="41"/>
  <c r="B24" i="41"/>
  <c r="B25" i="41"/>
  <c r="B26" i="41"/>
  <c r="B27" i="41"/>
  <c r="D23" i="39"/>
  <c r="D14" i="39"/>
  <c r="D15" i="39"/>
  <c r="D16" i="39"/>
  <c r="D17" i="39"/>
  <c r="D18" i="39"/>
  <c r="D19" i="39"/>
  <c r="D20" i="39"/>
  <c r="D21" i="39"/>
  <c r="D22" i="39"/>
  <c r="C23" i="39"/>
  <c r="C14" i="39"/>
  <c r="C15" i="39"/>
  <c r="C16" i="39"/>
  <c r="I16" i="39" s="1"/>
  <c r="C17" i="39"/>
  <c r="C18" i="39"/>
  <c r="I18" i="39" s="1"/>
  <c r="C19" i="39"/>
  <c r="I19" i="39" s="1"/>
  <c r="C20" i="39"/>
  <c r="I20" i="39" s="1"/>
  <c r="H20" i="39" s="1"/>
  <c r="C21" i="39"/>
  <c r="C22" i="39"/>
  <c r="I22" i="39" s="1"/>
  <c r="H22" i="39" s="1"/>
  <c r="B23" i="39"/>
  <c r="B14" i="39"/>
  <c r="B15" i="39"/>
  <c r="B16" i="39"/>
  <c r="B17" i="39"/>
  <c r="B18" i="39"/>
  <c r="B19" i="39"/>
  <c r="B20" i="39"/>
  <c r="B21" i="39"/>
  <c r="B22" i="39"/>
  <c r="C13" i="39"/>
  <c r="B13" i="39"/>
  <c r="P16" i="41" l="1"/>
  <c r="K16" i="41"/>
  <c r="G16" i="41"/>
  <c r="I15" i="39"/>
  <c r="H15" i="39" s="1"/>
  <c r="L15" i="39"/>
  <c r="K15" i="39"/>
  <c r="G15" i="41"/>
  <c r="P15" i="41"/>
  <c r="K15" i="41"/>
  <c r="L14" i="39"/>
  <c r="K14" i="39"/>
  <c r="K13" i="39"/>
  <c r="L13" i="39"/>
  <c r="K21" i="39"/>
  <c r="I21" i="39"/>
  <c r="H21" i="39" s="1"/>
  <c r="L20" i="39"/>
  <c r="N20" i="39" s="1"/>
  <c r="O20" i="39" s="1"/>
  <c r="Q21" i="39"/>
  <c r="L22" i="39"/>
  <c r="N22" i="39" s="1"/>
  <c r="O22" i="39" s="1"/>
  <c r="P21" i="39"/>
  <c r="Q20" i="39"/>
  <c r="K20" i="39"/>
  <c r="Q22" i="39"/>
  <c r="K22" i="39"/>
  <c r="L21" i="39"/>
  <c r="N21" i="39" s="1"/>
  <c r="O21" i="39" s="1"/>
  <c r="P20" i="39"/>
  <c r="P22" i="39"/>
  <c r="I17" i="39"/>
  <c r="I23" i="39"/>
  <c r="A24" i="41" l="1"/>
  <c r="A26" i="41"/>
  <c r="A28" i="41"/>
  <c r="A30" i="41"/>
  <c r="A16" i="41"/>
  <c r="A18" i="41"/>
  <c r="A20" i="41"/>
  <c r="A22" i="41"/>
  <c r="C162" i="37"/>
  <c r="G16" i="29" l="1"/>
  <c r="C143" i="37" l="1"/>
  <c r="B86" i="37"/>
  <c r="B95" i="37"/>
  <c r="B96" i="37"/>
  <c r="B97" i="37"/>
  <c r="J14" i="16"/>
  <c r="K14" i="16" s="1"/>
  <c r="J13" i="16"/>
  <c r="J12" i="16"/>
  <c r="K12" i="16" s="1"/>
  <c r="C150" i="37" l="1"/>
  <c r="C138" i="37"/>
  <c r="G122" i="16"/>
  <c r="C167" i="37" l="1"/>
  <c r="C169" i="37"/>
  <c r="C171" i="37"/>
  <c r="C172" i="37"/>
  <c r="C173" i="37"/>
  <c r="C166" i="37"/>
  <c r="B143" i="37"/>
  <c r="B155" i="37" s="1"/>
  <c r="B167" i="37" s="1"/>
  <c r="B179" i="37" s="1"/>
  <c r="B144" i="37"/>
  <c r="B156" i="37" s="1"/>
  <c r="B168" i="37" s="1"/>
  <c r="B180" i="37" s="1"/>
  <c r="B145" i="37"/>
  <c r="B157" i="37" s="1"/>
  <c r="B169" i="37" s="1"/>
  <c r="B181" i="37" s="1"/>
  <c r="B146" i="37"/>
  <c r="B158" i="37" s="1"/>
  <c r="B170" i="37" s="1"/>
  <c r="B182" i="37" s="1"/>
  <c r="B147" i="37"/>
  <c r="B159" i="37" s="1"/>
  <c r="B171" i="37" s="1"/>
  <c r="B183" i="37" s="1"/>
  <c r="B148" i="37"/>
  <c r="B160" i="37" s="1"/>
  <c r="B172" i="37" s="1"/>
  <c r="B184" i="37" s="1"/>
  <c r="B149" i="37"/>
  <c r="B161" i="37" s="1"/>
  <c r="B173" i="37" s="1"/>
  <c r="B185" i="37" s="1"/>
  <c r="B142" i="37"/>
  <c r="B154" i="37" s="1"/>
  <c r="B166" i="37" s="1"/>
  <c r="B178" i="37" s="1"/>
  <c r="A155" i="37"/>
  <c r="A167" i="37" s="1"/>
  <c r="A179" i="37" s="1"/>
  <c r="A168" i="37"/>
  <c r="A180" i="37" s="1"/>
  <c r="A145" i="37"/>
  <c r="A169" i="37" s="1"/>
  <c r="A181" i="37" s="1"/>
  <c r="A146" i="37"/>
  <c r="A158" i="37" s="1"/>
  <c r="A170" i="37" s="1"/>
  <c r="A182" i="37" s="1"/>
  <c r="A147" i="37"/>
  <c r="A159" i="37" s="1"/>
  <c r="A171" i="37" s="1"/>
  <c r="A183" i="37" s="1"/>
  <c r="A148" i="37"/>
  <c r="A160" i="37" s="1"/>
  <c r="A172" i="37" s="1"/>
  <c r="A184" i="37" s="1"/>
  <c r="A149" i="37"/>
  <c r="A161" i="37" s="1"/>
  <c r="A173" i="37" s="1"/>
  <c r="A185" i="37" s="1"/>
  <c r="A142" i="37"/>
  <c r="A154" i="37" s="1"/>
  <c r="A166" i="37" s="1"/>
  <c r="A178" i="37" s="1"/>
  <c r="B107" i="37"/>
  <c r="B108" i="37"/>
  <c r="B109" i="37"/>
  <c r="B110" i="37"/>
  <c r="B111" i="37"/>
  <c r="B112" i="37"/>
  <c r="B113" i="37"/>
  <c r="B114" i="37"/>
  <c r="B106" i="37"/>
  <c r="B131" i="37"/>
  <c r="B132" i="37"/>
  <c r="B133" i="37"/>
  <c r="B134" i="37"/>
  <c r="B135" i="37"/>
  <c r="B136" i="37"/>
  <c r="B137" i="37"/>
  <c r="B130" i="37"/>
  <c r="A133" i="37"/>
  <c r="A135" i="37"/>
  <c r="A136" i="37"/>
  <c r="A137" i="37"/>
  <c r="A130" i="37"/>
  <c r="F62" i="37"/>
  <c r="G62" i="37"/>
  <c r="F63" i="37"/>
  <c r="G63" i="37"/>
  <c r="F64" i="37"/>
  <c r="G64" i="37"/>
  <c r="F65" i="37"/>
  <c r="G65" i="37"/>
  <c r="F66" i="37"/>
  <c r="G66" i="37"/>
  <c r="F67" i="37"/>
  <c r="G67" i="37"/>
  <c r="F68" i="37"/>
  <c r="G68" i="37"/>
  <c r="E62" i="37"/>
  <c r="E63" i="37"/>
  <c r="E64" i="37"/>
  <c r="R64" i="37" s="1"/>
  <c r="E65" i="37"/>
  <c r="N65" i="37" s="1"/>
  <c r="J65" i="37" s="1"/>
  <c r="K65" i="37" s="1"/>
  <c r="E66" i="37"/>
  <c r="N66" i="37" s="1"/>
  <c r="J66" i="37" s="1"/>
  <c r="K66" i="37" s="1"/>
  <c r="E67" i="37"/>
  <c r="E68" i="37"/>
  <c r="R68" i="37" s="1"/>
  <c r="B63" i="37"/>
  <c r="B79" i="37" s="1"/>
  <c r="B64" i="37"/>
  <c r="B80" i="37" s="1"/>
  <c r="B65" i="37"/>
  <c r="B81" i="37" s="1"/>
  <c r="B66" i="37"/>
  <c r="B82" i="37" s="1"/>
  <c r="B67" i="37"/>
  <c r="B83" i="37" s="1"/>
  <c r="B68" i="37"/>
  <c r="B84" i="37" s="1"/>
  <c r="B69" i="37"/>
  <c r="B85" i="37" s="1"/>
  <c r="B62" i="37"/>
  <c r="B78" i="37" s="1"/>
  <c r="A63" i="37"/>
  <c r="A64" i="37"/>
  <c r="A65" i="37"/>
  <c r="A66" i="37"/>
  <c r="A67" i="37"/>
  <c r="A68" i="37"/>
  <c r="A69" i="37"/>
  <c r="A62" i="37"/>
  <c r="F30" i="37"/>
  <c r="F31" i="37"/>
  <c r="F32" i="37"/>
  <c r="F33" i="37"/>
  <c r="F34" i="37"/>
  <c r="F35" i="37"/>
  <c r="F36" i="37"/>
  <c r="E30" i="37"/>
  <c r="Q30" i="37" s="1"/>
  <c r="E31" i="37"/>
  <c r="Q31" i="37" s="1"/>
  <c r="E32" i="37"/>
  <c r="Q32" i="37" s="1"/>
  <c r="E33" i="37"/>
  <c r="E34" i="37"/>
  <c r="Q34" i="37" s="1"/>
  <c r="E35" i="37"/>
  <c r="Q35" i="37" s="1"/>
  <c r="E36" i="37"/>
  <c r="Q36" i="37" s="1"/>
  <c r="G46" i="37"/>
  <c r="G47" i="37"/>
  <c r="G48" i="37"/>
  <c r="G49" i="37"/>
  <c r="G50" i="37"/>
  <c r="G51" i="37"/>
  <c r="G52" i="37"/>
  <c r="F46" i="37"/>
  <c r="F47" i="37"/>
  <c r="F48" i="37"/>
  <c r="F49" i="37"/>
  <c r="F50" i="37"/>
  <c r="F51" i="37"/>
  <c r="F52" i="37"/>
  <c r="E46" i="37"/>
  <c r="E47" i="37"/>
  <c r="E48" i="37"/>
  <c r="N48" i="37" s="1"/>
  <c r="J48" i="37" s="1"/>
  <c r="K48" i="37" s="1"/>
  <c r="E49" i="37"/>
  <c r="E50" i="37"/>
  <c r="R50" i="37" s="1"/>
  <c r="E51" i="37"/>
  <c r="E52" i="37"/>
  <c r="B47" i="37"/>
  <c r="B48" i="37"/>
  <c r="B49" i="37"/>
  <c r="B50" i="37"/>
  <c r="B51" i="37"/>
  <c r="B52" i="37"/>
  <c r="B53" i="37"/>
  <c r="B46" i="37"/>
  <c r="A47" i="37"/>
  <c r="A48" i="37"/>
  <c r="A49" i="37"/>
  <c r="A50" i="37"/>
  <c r="A51" i="37"/>
  <c r="A52" i="37"/>
  <c r="A53" i="37"/>
  <c r="A46" i="37"/>
  <c r="E14" i="37"/>
  <c r="F14" i="37"/>
  <c r="G14" i="37"/>
  <c r="E15" i="37"/>
  <c r="F15" i="37"/>
  <c r="G15" i="37"/>
  <c r="E16" i="37"/>
  <c r="F16" i="37"/>
  <c r="G16" i="37"/>
  <c r="E17" i="37"/>
  <c r="F17" i="37"/>
  <c r="G17" i="37"/>
  <c r="E18" i="37"/>
  <c r="F18" i="37"/>
  <c r="G18" i="37"/>
  <c r="E19" i="37"/>
  <c r="F19" i="37"/>
  <c r="G19" i="37"/>
  <c r="E20" i="37"/>
  <c r="N20" i="37" s="1"/>
  <c r="F20" i="37"/>
  <c r="G20" i="37"/>
  <c r="B15" i="37"/>
  <c r="B31" i="37" s="1"/>
  <c r="B16" i="37"/>
  <c r="B32" i="37" s="1"/>
  <c r="B17" i="37"/>
  <c r="B33" i="37" s="1"/>
  <c r="B90" i="37" s="1"/>
  <c r="B18" i="37"/>
  <c r="B34" i="37" s="1"/>
  <c r="B91" i="37" s="1"/>
  <c r="B19" i="37"/>
  <c r="B35" i="37" s="1"/>
  <c r="B92" i="37" s="1"/>
  <c r="B20" i="37"/>
  <c r="B36" i="37" s="1"/>
  <c r="B93" i="37" s="1"/>
  <c r="B21" i="37"/>
  <c r="B37" i="37" s="1"/>
  <c r="B94" i="37" s="1"/>
  <c r="B14" i="37"/>
  <c r="B30" i="37" s="1"/>
  <c r="A15" i="37"/>
  <c r="A31" i="37" s="1"/>
  <c r="A16" i="37"/>
  <c r="A32" i="37" s="1"/>
  <c r="A17" i="37"/>
  <c r="A33" i="37" s="1"/>
  <c r="A18" i="37"/>
  <c r="A34" i="37" s="1"/>
  <c r="A19" i="37"/>
  <c r="A35" i="37" s="1"/>
  <c r="A20" i="37"/>
  <c r="A36" i="37" s="1"/>
  <c r="A21" i="37"/>
  <c r="A37" i="37" s="1"/>
  <c r="A14" i="37"/>
  <c r="A30" i="37" s="1"/>
  <c r="Q14" i="37" l="1"/>
  <c r="N18" i="37"/>
  <c r="J18" i="37" s="1"/>
  <c r="K18" i="37" s="1"/>
  <c r="Q18" i="37"/>
  <c r="Q15" i="37"/>
  <c r="Q16" i="37"/>
  <c r="C174" i="37"/>
  <c r="R33" i="37"/>
  <c r="Q33" i="37"/>
  <c r="N46" i="37"/>
  <c r="J46" i="37" s="1"/>
  <c r="N62" i="37"/>
  <c r="J62" i="37" s="1"/>
  <c r="I67" i="37"/>
  <c r="I63" i="37"/>
  <c r="Q66" i="37"/>
  <c r="L66" i="37"/>
  <c r="M66" i="37" s="1"/>
  <c r="L62" i="37"/>
  <c r="Q62" i="37"/>
  <c r="L68" i="37"/>
  <c r="M68" i="37" s="1"/>
  <c r="Q63" i="37"/>
  <c r="R66" i="37"/>
  <c r="Q67" i="37"/>
  <c r="R63" i="37"/>
  <c r="N67" i="37"/>
  <c r="R62" i="37"/>
  <c r="L64" i="37"/>
  <c r="M64" i="37" s="1"/>
  <c r="R67" i="37"/>
  <c r="N63" i="37"/>
  <c r="I62" i="37"/>
  <c r="I68" i="37"/>
  <c r="I64" i="37"/>
  <c r="L67" i="37"/>
  <c r="M67" i="37" s="1"/>
  <c r="L63" i="37"/>
  <c r="M63" i="37" s="1"/>
  <c r="Q65" i="37"/>
  <c r="R65" i="37"/>
  <c r="I66" i="37"/>
  <c r="O66" i="37" s="1"/>
  <c r="L65" i="37"/>
  <c r="M65" i="37" s="1"/>
  <c r="I65" i="37"/>
  <c r="P65" i="37" s="1"/>
  <c r="N68" i="37"/>
  <c r="J68" i="37" s="1"/>
  <c r="K68" i="37" s="1"/>
  <c r="N64" i="37"/>
  <c r="J64" i="37" s="1"/>
  <c r="K64" i="37" s="1"/>
  <c r="Q68" i="37"/>
  <c r="Q64" i="37"/>
  <c r="L36" i="37"/>
  <c r="M36" i="37" s="1"/>
  <c r="R48" i="37"/>
  <c r="Q19" i="37"/>
  <c r="Q17" i="37"/>
  <c r="Q52" i="37"/>
  <c r="Q48" i="37"/>
  <c r="L52" i="37"/>
  <c r="M52" i="37" s="1"/>
  <c r="I35" i="37"/>
  <c r="L31" i="37"/>
  <c r="M31" i="37" s="1"/>
  <c r="Q51" i="37"/>
  <c r="Q47" i="37"/>
  <c r="N52" i="37"/>
  <c r="J52" i="37" s="1"/>
  <c r="K52" i="37" s="1"/>
  <c r="N33" i="37"/>
  <c r="J33" i="37" s="1"/>
  <c r="K33" i="37" s="1"/>
  <c r="I49" i="37"/>
  <c r="I52" i="37"/>
  <c r="L48" i="37"/>
  <c r="M48" i="37" s="1"/>
  <c r="I47" i="37"/>
  <c r="R51" i="37"/>
  <c r="L47" i="37"/>
  <c r="M47" i="37" s="1"/>
  <c r="L34" i="37"/>
  <c r="M34" i="37" s="1"/>
  <c r="L33" i="37"/>
  <c r="M33" i="37" s="1"/>
  <c r="R36" i="37"/>
  <c r="L32" i="37"/>
  <c r="M32" i="37" s="1"/>
  <c r="N51" i="37"/>
  <c r="J51" i="37" s="1"/>
  <c r="K51" i="37" s="1"/>
  <c r="L46" i="37"/>
  <c r="I36" i="37"/>
  <c r="I32" i="37"/>
  <c r="Q46" i="37"/>
  <c r="R52" i="37"/>
  <c r="N50" i="37"/>
  <c r="J50" i="37" s="1"/>
  <c r="K50" i="37" s="1"/>
  <c r="R35" i="37"/>
  <c r="I31" i="37"/>
  <c r="Q50" i="37"/>
  <c r="N49" i="37"/>
  <c r="J49" i="37" s="1"/>
  <c r="K49" i="37" s="1"/>
  <c r="I48" i="37"/>
  <c r="O48" i="37" s="1"/>
  <c r="R34" i="37"/>
  <c r="I34" i="37"/>
  <c r="I33" i="37"/>
  <c r="I30" i="37"/>
  <c r="Q20" i="37"/>
  <c r="L51" i="37"/>
  <c r="M51" i="37" s="1"/>
  <c r="L50" i="37"/>
  <c r="M50" i="37" s="1"/>
  <c r="R47" i="37"/>
  <c r="R46" i="37"/>
  <c r="I46" i="37"/>
  <c r="N36" i="37"/>
  <c r="J36" i="37" s="1"/>
  <c r="K36" i="37" s="1"/>
  <c r="N35" i="37"/>
  <c r="R32" i="37"/>
  <c r="R31" i="37"/>
  <c r="R30" i="37"/>
  <c r="Q49" i="37"/>
  <c r="I51" i="37"/>
  <c r="I50" i="37"/>
  <c r="L49" i="37"/>
  <c r="M49" i="37" s="1"/>
  <c r="N47" i="37"/>
  <c r="L35" i="37"/>
  <c r="M35" i="37" s="1"/>
  <c r="N34" i="37"/>
  <c r="J34" i="37" s="1"/>
  <c r="K34" i="37" s="1"/>
  <c r="N32" i="37"/>
  <c r="J32" i="37" s="1"/>
  <c r="K32" i="37" s="1"/>
  <c r="N31" i="37"/>
  <c r="N30" i="37"/>
  <c r="J30" i="37" s="1"/>
  <c r="R49" i="37"/>
  <c r="L30" i="37"/>
  <c r="L16" i="37"/>
  <c r="M16" i="37" s="1"/>
  <c r="L17" i="37"/>
  <c r="M17" i="37" s="1"/>
  <c r="R20" i="37"/>
  <c r="R17" i="37"/>
  <c r="I15" i="37"/>
  <c r="N17" i="37"/>
  <c r="J17" i="37" s="1"/>
  <c r="K17" i="37" s="1"/>
  <c r="I20" i="37"/>
  <c r="O20" i="37" s="1"/>
  <c r="I19" i="37"/>
  <c r="I17" i="37"/>
  <c r="L15" i="37"/>
  <c r="M15" i="37" s="1"/>
  <c r="I16" i="37"/>
  <c r="L20" i="37"/>
  <c r="M20" i="37" s="1"/>
  <c r="N16" i="37"/>
  <c r="J16" i="37" s="1"/>
  <c r="K16" i="37" s="1"/>
  <c r="I14" i="37"/>
  <c r="I18" i="37"/>
  <c r="N19" i="37"/>
  <c r="J19" i="37" s="1"/>
  <c r="K19" i="37" s="1"/>
  <c r="R14" i="37"/>
  <c r="R19" i="37"/>
  <c r="L19" i="37"/>
  <c r="M19" i="37" s="1"/>
  <c r="R16" i="37"/>
  <c r="N15" i="37"/>
  <c r="J15" i="37" s="1"/>
  <c r="K15" i="37" s="1"/>
  <c r="L18" i="37"/>
  <c r="M18" i="37" s="1"/>
  <c r="R15" i="37"/>
  <c r="N14" i="37"/>
  <c r="J14" i="37" s="1"/>
  <c r="L14" i="37"/>
  <c r="R18" i="37"/>
  <c r="J20" i="37"/>
  <c r="K20" i="37" s="1"/>
  <c r="O18" i="37" l="1"/>
  <c r="P33" i="37"/>
  <c r="P20" i="37"/>
  <c r="M30" i="37"/>
  <c r="P62" i="37"/>
  <c r="M62" i="37"/>
  <c r="O46" i="37"/>
  <c r="M46" i="37"/>
  <c r="M14" i="37"/>
  <c r="K62" i="37"/>
  <c r="K14" i="37"/>
  <c r="K30" i="37"/>
  <c r="K46" i="37"/>
  <c r="O63" i="37"/>
  <c r="O52" i="37"/>
  <c r="P67" i="37"/>
  <c r="P63" i="37"/>
  <c r="J67" i="37"/>
  <c r="K67" i="37" s="1"/>
  <c r="O62" i="37"/>
  <c r="O67" i="37"/>
  <c r="P66" i="37"/>
  <c r="J63" i="37"/>
  <c r="K63" i="37" s="1"/>
  <c r="O68" i="37"/>
  <c r="P68" i="37"/>
  <c r="O65" i="37"/>
  <c r="P64" i="37"/>
  <c r="O64" i="37"/>
  <c r="P31" i="37"/>
  <c r="P47" i="37"/>
  <c r="O33" i="37"/>
  <c r="O51" i="37"/>
  <c r="O36" i="37"/>
  <c r="P52" i="37"/>
  <c r="P51" i="37"/>
  <c r="O35" i="37"/>
  <c r="P49" i="37"/>
  <c r="J35" i="37"/>
  <c r="K35" i="37" s="1"/>
  <c r="O50" i="37"/>
  <c r="P50" i="37"/>
  <c r="O34" i="37"/>
  <c r="J47" i="37"/>
  <c r="K47" i="37" s="1"/>
  <c r="O31" i="37"/>
  <c r="P46" i="37"/>
  <c r="O32" i="37"/>
  <c r="O30" i="37"/>
  <c r="P34" i="37"/>
  <c r="P35" i="37"/>
  <c r="P30" i="37"/>
  <c r="P48" i="37"/>
  <c r="J31" i="37"/>
  <c r="K31" i="37" s="1"/>
  <c r="P36" i="37"/>
  <c r="O47" i="37"/>
  <c r="O49" i="37"/>
  <c r="P32" i="37"/>
  <c r="P15" i="37"/>
  <c r="P17" i="37"/>
  <c r="O14" i="37"/>
  <c r="O16" i="37"/>
  <c r="P18" i="37"/>
  <c r="P16" i="37"/>
  <c r="P14" i="37"/>
  <c r="O17" i="37"/>
  <c r="O19" i="37"/>
  <c r="P19" i="37"/>
  <c r="O15" i="37"/>
  <c r="A18" i="26" l="1"/>
  <c r="A16" i="26"/>
  <c r="A14" i="26"/>
  <c r="A12" i="26"/>
  <c r="A20" i="26"/>
  <c r="A22" i="26"/>
  <c r="A24" i="26"/>
  <c r="A26" i="26"/>
  <c r="P16" i="39"/>
  <c r="P17" i="39"/>
  <c r="P18" i="39"/>
  <c r="P19" i="39"/>
  <c r="P23" i="39"/>
  <c r="D13" i="39"/>
  <c r="F16" i="39"/>
  <c r="G17" i="39"/>
  <c r="G19" i="39"/>
  <c r="A14" i="39"/>
  <c r="S14" i="39" s="1"/>
  <c r="A15" i="39"/>
  <c r="S15" i="39" s="1"/>
  <c r="A16" i="39"/>
  <c r="S16" i="39" s="1"/>
  <c r="A17" i="39"/>
  <c r="S17" i="39" s="1"/>
  <c r="A18" i="39"/>
  <c r="S18" i="39" s="1"/>
  <c r="A19" i="39"/>
  <c r="S19" i="39" s="1"/>
  <c r="A13" i="39"/>
  <c r="S13" i="39" s="1"/>
  <c r="G26" i="40"/>
  <c r="P15" i="39" l="1"/>
  <c r="P14" i="39"/>
  <c r="Q23" i="39"/>
  <c r="Q18" i="39"/>
  <c r="Q14" i="39"/>
  <c r="N15" i="39"/>
  <c r="O15" i="39" s="1"/>
  <c r="H19" i="39"/>
  <c r="H17" i="39"/>
  <c r="Q17" i="39"/>
  <c r="F19" i="39"/>
  <c r="Q19" i="39"/>
  <c r="Q15" i="39"/>
  <c r="G16" i="39"/>
  <c r="Q16" i="39"/>
  <c r="Q13" i="39"/>
  <c r="C24" i="39"/>
  <c r="K13" i="16" s="1"/>
  <c r="P13" i="39"/>
  <c r="F13" i="39"/>
  <c r="G13" i="39"/>
  <c r="F17" i="39"/>
  <c r="L17" i="39"/>
  <c r="N17" i="39" s="1"/>
  <c r="O17" i="39" s="1"/>
  <c r="K17" i="39"/>
  <c r="F18" i="39"/>
  <c r="L18" i="39"/>
  <c r="N18" i="39" s="1"/>
  <c r="O18" i="39" s="1"/>
  <c r="K18" i="39"/>
  <c r="N14" i="39"/>
  <c r="O14" i="39" s="1"/>
  <c r="L23" i="39"/>
  <c r="N23" i="39" s="1"/>
  <c r="O23" i="39" s="1"/>
  <c r="K23" i="39"/>
  <c r="L16" i="39"/>
  <c r="N16" i="39" s="1"/>
  <c r="O16" i="39" s="1"/>
  <c r="K16" i="39"/>
  <c r="L19" i="39"/>
  <c r="N19" i="39" s="1"/>
  <c r="O19" i="39" s="1"/>
  <c r="K19" i="39"/>
  <c r="G18" i="39"/>
  <c r="H18" i="39"/>
  <c r="H16" i="39"/>
  <c r="G31" i="36"/>
  <c r="G15" i="44"/>
  <c r="I24" i="39" l="1"/>
  <c r="P24" i="39"/>
  <c r="K24" i="39"/>
  <c r="N13" i="39"/>
  <c r="N24" i="39" s="1"/>
  <c r="L24" i="39"/>
  <c r="E37" i="37"/>
  <c r="Q37" i="37" s="1"/>
  <c r="E21" i="37"/>
  <c r="E22" i="37" s="1"/>
  <c r="Q38" i="37" l="1"/>
  <c r="G46" i="16" s="1"/>
  <c r="E38" i="37"/>
  <c r="O13" i="39"/>
  <c r="O24" i="39" s="1"/>
  <c r="R37" i="37"/>
  <c r="R38" i="37" s="1"/>
  <c r="N37" i="37"/>
  <c r="G53" i="37"/>
  <c r="G26" i="44"/>
  <c r="G25" i="44"/>
  <c r="G24" i="44"/>
  <c r="G23" i="44"/>
  <c r="G22" i="44"/>
  <c r="G21" i="44"/>
  <c r="G20" i="44"/>
  <c r="G19" i="44"/>
  <c r="G18" i="44"/>
  <c r="G17" i="44"/>
  <c r="G16" i="44"/>
  <c r="G12" i="44"/>
  <c r="G13" i="44" s="1"/>
  <c r="G9" i="44"/>
  <c r="G10" i="44" s="1"/>
  <c r="A7" i="44"/>
  <c r="A7" i="43"/>
  <c r="G35" i="43"/>
  <c r="G34" i="43"/>
  <c r="I30" i="43"/>
  <c r="G30" i="43"/>
  <c r="E31" i="43" s="1"/>
  <c r="G41" i="43" s="1"/>
  <c r="I26" i="43"/>
  <c r="G26" i="43"/>
  <c r="J25" i="43"/>
  <c r="I25" i="43"/>
  <c r="G25" i="43"/>
  <c r="I24" i="43"/>
  <c r="G24" i="43"/>
  <c r="J23" i="43"/>
  <c r="I23" i="43"/>
  <c r="G23" i="43"/>
  <c r="I22" i="43"/>
  <c r="G22" i="43"/>
  <c r="J21" i="43"/>
  <c r="I21" i="43"/>
  <c r="G21" i="43"/>
  <c r="I20" i="43"/>
  <c r="G20" i="43"/>
  <c r="J19" i="43"/>
  <c r="I19" i="43"/>
  <c r="G19" i="43"/>
  <c r="I18" i="43"/>
  <c r="G18" i="43"/>
  <c r="J17" i="43"/>
  <c r="I17" i="43"/>
  <c r="G17" i="43"/>
  <c r="I16" i="43"/>
  <c r="G16" i="43"/>
  <c r="J15" i="43"/>
  <c r="I15" i="43"/>
  <c r="G15" i="43"/>
  <c r="I11" i="43"/>
  <c r="E11" i="43"/>
  <c r="G11" i="43" s="1"/>
  <c r="I10" i="43"/>
  <c r="E10" i="43"/>
  <c r="G10" i="43" s="1"/>
  <c r="F107" i="37"/>
  <c r="G107" i="37"/>
  <c r="F108" i="37"/>
  <c r="G108" i="37"/>
  <c r="F109" i="37"/>
  <c r="G109" i="37"/>
  <c r="F110" i="37"/>
  <c r="G110" i="37"/>
  <c r="F111" i="37"/>
  <c r="G111" i="37"/>
  <c r="F112" i="37"/>
  <c r="G112" i="37"/>
  <c r="F113" i="37"/>
  <c r="G113" i="37"/>
  <c r="F114" i="37"/>
  <c r="G114" i="37"/>
  <c r="F115" i="37"/>
  <c r="G115" i="37"/>
  <c r="F116" i="37"/>
  <c r="G116" i="37"/>
  <c r="F117" i="37"/>
  <c r="G117" i="37"/>
  <c r="F118" i="37"/>
  <c r="G118" i="37"/>
  <c r="F119" i="37"/>
  <c r="G119" i="37"/>
  <c r="F120" i="37"/>
  <c r="G120" i="37"/>
  <c r="F121" i="37"/>
  <c r="G121" i="37"/>
  <c r="F122" i="37"/>
  <c r="G122" i="37"/>
  <c r="F123" i="37"/>
  <c r="G123" i="37"/>
  <c r="F124" i="37"/>
  <c r="G124" i="37"/>
  <c r="F125" i="37"/>
  <c r="G125" i="37"/>
  <c r="G106" i="37"/>
  <c r="F106" i="37"/>
  <c r="F79" i="37"/>
  <c r="G79" i="37"/>
  <c r="F80" i="37"/>
  <c r="G80" i="37"/>
  <c r="F81" i="37"/>
  <c r="G81" i="37"/>
  <c r="F82" i="37"/>
  <c r="G82" i="37"/>
  <c r="F83" i="37"/>
  <c r="G83" i="37"/>
  <c r="F84" i="37"/>
  <c r="G84" i="37"/>
  <c r="F85" i="37"/>
  <c r="G85" i="37"/>
  <c r="F86" i="37"/>
  <c r="G86" i="37"/>
  <c r="F87" i="37"/>
  <c r="G87" i="37"/>
  <c r="F88" i="37"/>
  <c r="G88" i="37"/>
  <c r="F89" i="37"/>
  <c r="G89" i="37"/>
  <c r="F90" i="37"/>
  <c r="G90" i="37"/>
  <c r="F91" i="37"/>
  <c r="G91" i="37"/>
  <c r="F92" i="37"/>
  <c r="G92" i="37"/>
  <c r="F93" i="37"/>
  <c r="G93" i="37"/>
  <c r="F94" i="37"/>
  <c r="G94" i="37"/>
  <c r="F95" i="37"/>
  <c r="G95" i="37"/>
  <c r="F96" i="37"/>
  <c r="G96" i="37"/>
  <c r="F97" i="37"/>
  <c r="G97" i="37"/>
  <c r="G78" i="37"/>
  <c r="F78" i="37"/>
  <c r="G69" i="37"/>
  <c r="F69" i="37"/>
  <c r="F53" i="37"/>
  <c r="F37" i="37"/>
  <c r="G21" i="37"/>
  <c r="Q21" i="37" s="1"/>
  <c r="F21" i="37"/>
  <c r="L21" i="37" s="1"/>
  <c r="J121" i="16"/>
  <c r="J120" i="16"/>
  <c r="AC15" i="41"/>
  <c r="AC16" i="41"/>
  <c r="AC17" i="41"/>
  <c r="AC18" i="41"/>
  <c r="AC19" i="41"/>
  <c r="AC20" i="41"/>
  <c r="AC21" i="41"/>
  <c r="AC22" i="41"/>
  <c r="AC23" i="41"/>
  <c r="AC24" i="41"/>
  <c r="AC25" i="41"/>
  <c r="AC26" i="41"/>
  <c r="AC27" i="41"/>
  <c r="AC28" i="41"/>
  <c r="AC29" i="41"/>
  <c r="AC30" i="41"/>
  <c r="AC14" i="41"/>
  <c r="J111" i="16"/>
  <c r="AE29" i="41" s="1"/>
  <c r="J112" i="16"/>
  <c r="AF17" i="41" s="1"/>
  <c r="J113" i="16"/>
  <c r="AH12" i="39"/>
  <c r="AG12" i="39"/>
  <c r="AF12" i="39"/>
  <c r="AE12" i="39"/>
  <c r="D25" i="41"/>
  <c r="E25" i="41" s="1"/>
  <c r="D26" i="41"/>
  <c r="D27" i="41"/>
  <c r="D28" i="41"/>
  <c r="D29" i="41"/>
  <c r="E29" i="41" s="1"/>
  <c r="D30" i="41"/>
  <c r="D14" i="41"/>
  <c r="C14" i="41"/>
  <c r="E14" i="41" s="1"/>
  <c r="B28" i="41"/>
  <c r="B29" i="41"/>
  <c r="B30" i="41"/>
  <c r="B14" i="41"/>
  <c r="F23" i="39"/>
  <c r="AC176" i="37"/>
  <c r="AC164" i="37"/>
  <c r="AC152" i="37"/>
  <c r="AC140" i="37"/>
  <c r="AC128" i="37"/>
  <c r="G93" i="16"/>
  <c r="J97" i="16"/>
  <c r="J81" i="16"/>
  <c r="J71" i="16"/>
  <c r="W93" i="37" s="1"/>
  <c r="J61" i="16"/>
  <c r="J51" i="16"/>
  <c r="J41" i="16"/>
  <c r="J31" i="16"/>
  <c r="B119" i="37"/>
  <c r="B116" i="37"/>
  <c r="B117" i="37"/>
  <c r="B123" i="37"/>
  <c r="B118" i="37"/>
  <c r="G33" i="36"/>
  <c r="G32" i="36"/>
  <c r="J107" i="16"/>
  <c r="AA28" i="41" s="1"/>
  <c r="D12" i="29"/>
  <c r="G13" i="29"/>
  <c r="J86" i="16"/>
  <c r="AB120" i="37" s="1"/>
  <c r="J85" i="16"/>
  <c r="AA111" i="37" s="1"/>
  <c r="J84" i="16"/>
  <c r="Z110" i="37" s="1"/>
  <c r="J83" i="16"/>
  <c r="J82" i="16"/>
  <c r="X109" i="37" s="1"/>
  <c r="J80" i="16"/>
  <c r="V116" i="37" s="1"/>
  <c r="J79" i="16"/>
  <c r="U110" i="37" s="1"/>
  <c r="J76" i="16"/>
  <c r="AB90" i="37" s="1"/>
  <c r="J75" i="16"/>
  <c r="AA83" i="37" s="1"/>
  <c r="J74" i="16"/>
  <c r="Z90" i="37" s="1"/>
  <c r="J73" i="16"/>
  <c r="Y93" i="37" s="1"/>
  <c r="J72" i="16"/>
  <c r="X89" i="37" s="1"/>
  <c r="J70" i="16"/>
  <c r="V89" i="37" s="1"/>
  <c r="J69" i="16"/>
  <c r="U83" i="37" s="1"/>
  <c r="J66" i="16"/>
  <c r="J65" i="16"/>
  <c r="J64" i="16"/>
  <c r="J63" i="16"/>
  <c r="J62" i="16"/>
  <c r="X69" i="37" s="1"/>
  <c r="J60" i="16"/>
  <c r="J59" i="16"/>
  <c r="U69" i="37" s="1"/>
  <c r="J56" i="16"/>
  <c r="J55" i="16"/>
  <c r="J54" i="16"/>
  <c r="J53" i="16"/>
  <c r="J52" i="16"/>
  <c r="X53" i="37" s="1"/>
  <c r="J50" i="16"/>
  <c r="J49" i="16"/>
  <c r="U53" i="37" s="1"/>
  <c r="J46" i="16"/>
  <c r="J45" i="16"/>
  <c r="J44" i="16"/>
  <c r="J43" i="16"/>
  <c r="J42" i="16"/>
  <c r="J40" i="16"/>
  <c r="J39" i="16"/>
  <c r="J36" i="16"/>
  <c r="J34" i="16"/>
  <c r="Z21" i="37" s="1"/>
  <c r="U30" i="41"/>
  <c r="U29" i="41"/>
  <c r="U28" i="41"/>
  <c r="U27" i="41"/>
  <c r="U26" i="41"/>
  <c r="U25" i="41"/>
  <c r="U24" i="41"/>
  <c r="U23" i="41"/>
  <c r="U22" i="41"/>
  <c r="U21" i="41"/>
  <c r="U20" i="41"/>
  <c r="U19" i="41"/>
  <c r="U18" i="41"/>
  <c r="U17" i="41"/>
  <c r="U16" i="41"/>
  <c r="U15" i="41"/>
  <c r="A14" i="41"/>
  <c r="U14" i="41" s="1"/>
  <c r="A7" i="41"/>
  <c r="B14" i="26"/>
  <c r="M15" i="26"/>
  <c r="M14" i="26"/>
  <c r="M13" i="26"/>
  <c r="M16" i="26"/>
  <c r="M17" i="26"/>
  <c r="M18" i="26"/>
  <c r="M19" i="26"/>
  <c r="M20" i="26"/>
  <c r="M21" i="26"/>
  <c r="M22" i="26"/>
  <c r="M23" i="26"/>
  <c r="M24" i="26"/>
  <c r="M25" i="26"/>
  <c r="M26" i="26"/>
  <c r="M27" i="26"/>
  <c r="M12" i="26"/>
  <c r="A7" i="37"/>
  <c r="E125" i="37"/>
  <c r="E124" i="37"/>
  <c r="N124" i="37" s="1"/>
  <c r="J124" i="37" s="1"/>
  <c r="K124" i="37" s="1"/>
  <c r="E123" i="37"/>
  <c r="N123" i="37" s="1"/>
  <c r="J123" i="37" s="1"/>
  <c r="K123" i="37" s="1"/>
  <c r="E122" i="37"/>
  <c r="E121" i="37"/>
  <c r="R121" i="37" s="1"/>
  <c r="E120" i="37"/>
  <c r="E119" i="37"/>
  <c r="R119" i="37" s="1"/>
  <c r="E118" i="37"/>
  <c r="N118" i="37" s="1"/>
  <c r="J118" i="37" s="1"/>
  <c r="K118" i="37" s="1"/>
  <c r="E117" i="37"/>
  <c r="E116" i="37"/>
  <c r="N116" i="37" s="1"/>
  <c r="J116" i="37" s="1"/>
  <c r="K116" i="37" s="1"/>
  <c r="E115" i="37"/>
  <c r="E114" i="37"/>
  <c r="E113" i="37"/>
  <c r="E112" i="37"/>
  <c r="R112" i="37" s="1"/>
  <c r="E111" i="37"/>
  <c r="E110" i="37"/>
  <c r="R110" i="37" s="1"/>
  <c r="E109" i="37"/>
  <c r="N109" i="37" s="1"/>
  <c r="J109" i="37" s="1"/>
  <c r="K109" i="37" s="1"/>
  <c r="E108" i="37"/>
  <c r="R108" i="37" s="1"/>
  <c r="E107" i="37"/>
  <c r="R107" i="37" s="1"/>
  <c r="E106" i="37"/>
  <c r="S23" i="39"/>
  <c r="E97" i="37"/>
  <c r="R97" i="37" s="1"/>
  <c r="E96" i="37"/>
  <c r="E95" i="37"/>
  <c r="N95" i="37" s="1"/>
  <c r="J95" i="37" s="1"/>
  <c r="K95" i="37" s="1"/>
  <c r="E94" i="37"/>
  <c r="N94" i="37" s="1"/>
  <c r="J94" i="37" s="1"/>
  <c r="K94" i="37" s="1"/>
  <c r="E93" i="37"/>
  <c r="E92" i="37"/>
  <c r="R92" i="37" s="1"/>
  <c r="E91" i="37"/>
  <c r="N91" i="37" s="1"/>
  <c r="J91" i="37" s="1"/>
  <c r="E90" i="37"/>
  <c r="E89" i="37"/>
  <c r="E88" i="37"/>
  <c r="E87" i="37"/>
  <c r="N87" i="37" s="1"/>
  <c r="J87" i="37" s="1"/>
  <c r="K87" i="37" s="1"/>
  <c r="E86" i="37"/>
  <c r="E85" i="37"/>
  <c r="R85" i="37" s="1"/>
  <c r="E84" i="37"/>
  <c r="E83" i="37"/>
  <c r="N83" i="37" s="1"/>
  <c r="J83" i="37" s="1"/>
  <c r="K83" i="37" s="1"/>
  <c r="E82" i="37"/>
  <c r="N82" i="37" s="1"/>
  <c r="J82" i="37" s="1"/>
  <c r="K82" i="37" s="1"/>
  <c r="E81" i="37"/>
  <c r="N81" i="37" s="1"/>
  <c r="J81" i="37" s="1"/>
  <c r="K81" i="37" s="1"/>
  <c r="E80" i="37"/>
  <c r="R80" i="37" s="1"/>
  <c r="E79" i="37"/>
  <c r="R79" i="37" s="1"/>
  <c r="E78" i="37"/>
  <c r="J25" i="16"/>
  <c r="J24" i="16"/>
  <c r="J23" i="16"/>
  <c r="J22" i="16"/>
  <c r="J19" i="16"/>
  <c r="J18" i="16"/>
  <c r="J95" i="16"/>
  <c r="J91" i="16"/>
  <c r="AC149" i="37" s="1"/>
  <c r="J87" i="16"/>
  <c r="AC109" i="37" s="1"/>
  <c r="J78" i="16"/>
  <c r="T115" i="37" s="1"/>
  <c r="J77" i="16"/>
  <c r="AC94" i="37" s="1"/>
  <c r="J68" i="16"/>
  <c r="T90" i="37" s="1"/>
  <c r="G27" i="40"/>
  <c r="H11" i="40" s="1"/>
  <c r="K11" i="40" s="1"/>
  <c r="H10" i="40"/>
  <c r="K10" i="40" s="1"/>
  <c r="G25" i="40"/>
  <c r="H9" i="40" s="1"/>
  <c r="K9" i="40" s="1"/>
  <c r="K18" i="40"/>
  <c r="K15" i="40"/>
  <c r="G25" i="29"/>
  <c r="G24" i="29"/>
  <c r="G21" i="29"/>
  <c r="G20" i="29"/>
  <c r="A7" i="39"/>
  <c r="A7" i="38"/>
  <c r="E69" i="37"/>
  <c r="E70" i="37" s="1"/>
  <c r="E53" i="37"/>
  <c r="E54" i="37" s="1"/>
  <c r="N21" i="37"/>
  <c r="J21" i="37" s="1"/>
  <c r="J125" i="16"/>
  <c r="J119" i="16"/>
  <c r="K119" i="16" s="1"/>
  <c r="J117" i="16"/>
  <c r="J108" i="16"/>
  <c r="J102" i="16"/>
  <c r="X14" i="41" s="1"/>
  <c r="J101" i="16"/>
  <c r="W28" i="41" s="1"/>
  <c r="J100" i="16"/>
  <c r="V21" i="41" s="1"/>
  <c r="J30" i="16"/>
  <c r="J37" i="16"/>
  <c r="J38" i="16"/>
  <c r="J47" i="16"/>
  <c r="J48" i="16"/>
  <c r="J57" i="16"/>
  <c r="AC53" i="37" s="1"/>
  <c r="J58" i="16"/>
  <c r="J67" i="16"/>
  <c r="J89" i="16"/>
  <c r="J93" i="16"/>
  <c r="J33" i="16"/>
  <c r="J35" i="16"/>
  <c r="J32" i="16"/>
  <c r="J29" i="16"/>
  <c r="J28" i="16"/>
  <c r="A7" i="36"/>
  <c r="G51" i="36"/>
  <c r="H23" i="36"/>
  <c r="H22" i="36"/>
  <c r="H21" i="36"/>
  <c r="H20" i="36"/>
  <c r="H19" i="36"/>
  <c r="H18" i="36"/>
  <c r="H10" i="36"/>
  <c r="H11" i="36" s="1"/>
  <c r="C6" i="35"/>
  <c r="H17" i="35"/>
  <c r="H16" i="35"/>
  <c r="H11" i="35"/>
  <c r="H24" i="35"/>
  <c r="H23" i="35"/>
  <c r="H22" i="35"/>
  <c r="H21" i="35"/>
  <c r="H15" i="35"/>
  <c r="H10" i="35"/>
  <c r="A7" i="35"/>
  <c r="G22" i="29"/>
  <c r="G19" i="29"/>
  <c r="G18" i="29"/>
  <c r="A7" i="33"/>
  <c r="A8" i="34"/>
  <c r="C41" i="34"/>
  <c r="C39" i="34"/>
  <c r="C40" i="34" s="1"/>
  <c r="C37" i="34"/>
  <c r="H37" i="34" s="1"/>
  <c r="C36" i="34"/>
  <c r="H36" i="34" s="1"/>
  <c r="C35" i="34"/>
  <c r="H35" i="34" s="1"/>
  <c r="H30" i="34"/>
  <c r="H25" i="34"/>
  <c r="H19" i="34" s="1"/>
  <c r="H18" i="34" s="1"/>
  <c r="C44" i="34" s="1"/>
  <c r="C45" i="34" s="1"/>
  <c r="H16" i="34"/>
  <c r="H12" i="34"/>
  <c r="F43" i="33"/>
  <c r="E43" i="33"/>
  <c r="D43" i="33"/>
  <c r="C43" i="33"/>
  <c r="F39" i="33"/>
  <c r="E39" i="33"/>
  <c r="D39" i="33"/>
  <c r="C39" i="33"/>
  <c r="F32" i="33"/>
  <c r="E32" i="33"/>
  <c r="D32" i="33"/>
  <c r="C32" i="33"/>
  <c r="F20" i="33"/>
  <c r="F47" i="33" s="1"/>
  <c r="E20" i="33"/>
  <c r="E47" i="33" s="1"/>
  <c r="D20" i="33"/>
  <c r="C20" i="33"/>
  <c r="C47" i="33" s="1"/>
  <c r="A7" i="29"/>
  <c r="A7" i="24"/>
  <c r="A7" i="30"/>
  <c r="J11" i="16"/>
  <c r="K11" i="16" s="1"/>
  <c r="H38" i="30"/>
  <c r="F11" i="30" s="1"/>
  <c r="H11" i="30" s="1"/>
  <c r="H37" i="30"/>
  <c r="F10" i="30" s="1"/>
  <c r="H10" i="30" s="1"/>
  <c r="F24" i="30"/>
  <c r="H29" i="30" s="1"/>
  <c r="H17" i="30"/>
  <c r="F19" i="30" s="1"/>
  <c r="H28" i="30" s="1"/>
  <c r="G27" i="29"/>
  <c r="G26" i="29"/>
  <c r="G23" i="29"/>
  <c r="G17" i="29"/>
  <c r="G12" i="29"/>
  <c r="G9" i="29"/>
  <c r="G10" i="29" s="1"/>
  <c r="B26" i="26"/>
  <c r="B24" i="26"/>
  <c r="B22" i="26"/>
  <c r="B20" i="26"/>
  <c r="B18" i="26"/>
  <c r="B16" i="26"/>
  <c r="B12" i="26"/>
  <c r="A7" i="26"/>
  <c r="G13" i="24"/>
  <c r="G11" i="24"/>
  <c r="G12" i="24"/>
  <c r="I11" i="24"/>
  <c r="I12" i="24"/>
  <c r="I13" i="24"/>
  <c r="I17" i="24"/>
  <c r="G17" i="24"/>
  <c r="I18" i="24"/>
  <c r="G18" i="24"/>
  <c r="I19" i="24"/>
  <c r="G19" i="24"/>
  <c r="I20" i="24"/>
  <c r="G20" i="24"/>
  <c r="I21" i="24"/>
  <c r="G21" i="24"/>
  <c r="I22" i="24"/>
  <c r="G22" i="24"/>
  <c r="I23" i="24"/>
  <c r="G23" i="24"/>
  <c r="I24" i="24"/>
  <c r="G24" i="24"/>
  <c r="I25" i="24"/>
  <c r="G25" i="24"/>
  <c r="I26" i="24"/>
  <c r="G26" i="24"/>
  <c r="I27" i="24"/>
  <c r="G27" i="24"/>
  <c r="I28" i="24"/>
  <c r="G28" i="24"/>
  <c r="I29" i="24"/>
  <c r="G29" i="24"/>
  <c r="I33" i="24"/>
  <c r="G33" i="24"/>
  <c r="I34" i="24"/>
  <c r="G34" i="24"/>
  <c r="I35" i="24"/>
  <c r="G35" i="24"/>
  <c r="I36" i="24"/>
  <c r="G36" i="24"/>
  <c r="I37" i="24"/>
  <c r="I10" i="24"/>
  <c r="G10" i="24"/>
  <c r="G37" i="24"/>
  <c r="J103" i="16"/>
  <c r="Y16" i="41" s="1"/>
  <c r="U91" i="37"/>
  <c r="U111" i="37"/>
  <c r="U118" i="37"/>
  <c r="Z97" i="37"/>
  <c r="Y92" i="37"/>
  <c r="AF29" i="41"/>
  <c r="T21" i="37"/>
  <c r="Z124" i="37"/>
  <c r="Z116" i="37"/>
  <c r="Z125" i="37"/>
  <c r="Z114" i="37"/>
  <c r="R21" i="37"/>
  <c r="R22" i="37" s="1"/>
  <c r="G28" i="16"/>
  <c r="B125" i="37"/>
  <c r="P14" i="41" l="1"/>
  <c r="R14" i="41" s="1"/>
  <c r="G14" i="41"/>
  <c r="K14" i="41"/>
  <c r="L14" i="41" s="1"/>
  <c r="E27" i="43"/>
  <c r="G40" i="43" s="1"/>
  <c r="W23" i="41"/>
  <c r="K28" i="16"/>
  <c r="T109" i="37"/>
  <c r="AF23" i="41"/>
  <c r="Y20" i="39"/>
  <c r="Y23" i="39"/>
  <c r="Y21" i="39"/>
  <c r="Y22" i="39"/>
  <c r="T20" i="39"/>
  <c r="T21" i="39"/>
  <c r="T22" i="39"/>
  <c r="T23" i="39"/>
  <c r="Z21" i="39"/>
  <c r="Z20" i="39"/>
  <c r="Z23" i="39"/>
  <c r="Z22" i="39"/>
  <c r="V20" i="39"/>
  <c r="V21" i="39"/>
  <c r="V22" i="39"/>
  <c r="V23" i="39"/>
  <c r="AA22" i="39"/>
  <c r="AA21" i="39"/>
  <c r="AA23" i="39"/>
  <c r="AA20" i="39"/>
  <c r="U20" i="39"/>
  <c r="U21" i="39"/>
  <c r="U22" i="39"/>
  <c r="U23" i="39"/>
  <c r="F24" i="39"/>
  <c r="AF22" i="39"/>
  <c r="AF20" i="39"/>
  <c r="AF21" i="39"/>
  <c r="AH20" i="39"/>
  <c r="AH21" i="39"/>
  <c r="AH22" i="39"/>
  <c r="AG21" i="39"/>
  <c r="AG22" i="39"/>
  <c r="AG20" i="39"/>
  <c r="E17" i="41"/>
  <c r="X88" i="37"/>
  <c r="X90" i="37"/>
  <c r="U119" i="37"/>
  <c r="U113" i="37"/>
  <c r="U112" i="37"/>
  <c r="U121" i="37"/>
  <c r="Z94" i="37"/>
  <c r="G34" i="36"/>
  <c r="E22" i="41"/>
  <c r="K22" i="41" s="1"/>
  <c r="E18" i="41"/>
  <c r="H39" i="34"/>
  <c r="H40" i="34" s="1"/>
  <c r="T124" i="37"/>
  <c r="Z87" i="37"/>
  <c r="Z80" i="37"/>
  <c r="Z88" i="37"/>
  <c r="AE18" i="41"/>
  <c r="AE27" i="41"/>
  <c r="AE28" i="41"/>
  <c r="AE21" i="41"/>
  <c r="AE25" i="41"/>
  <c r="AE19" i="41"/>
  <c r="AE23" i="41"/>
  <c r="AE15" i="41"/>
  <c r="AA29" i="41"/>
  <c r="AA22" i="41"/>
  <c r="AA17" i="41"/>
  <c r="AA23" i="41"/>
  <c r="AA26" i="41"/>
  <c r="AA30" i="41"/>
  <c r="AA24" i="41"/>
  <c r="AA14" i="41"/>
  <c r="AA21" i="41"/>
  <c r="AA19" i="41"/>
  <c r="X23" i="41"/>
  <c r="X22" i="41"/>
  <c r="X30" i="41"/>
  <c r="X16" i="41"/>
  <c r="X25" i="41"/>
  <c r="X15" i="41"/>
  <c r="X20" i="41"/>
  <c r="X19" i="41"/>
  <c r="AC119" i="37"/>
  <c r="AA122" i="37"/>
  <c r="V120" i="37"/>
  <c r="V123" i="37"/>
  <c r="W94" i="37"/>
  <c r="W86" i="37"/>
  <c r="W84" i="37"/>
  <c r="W82" i="37"/>
  <c r="W95" i="37"/>
  <c r="T91" i="37"/>
  <c r="T92" i="37"/>
  <c r="T93" i="37"/>
  <c r="T78" i="37"/>
  <c r="T79" i="37"/>
  <c r="AF27" i="41"/>
  <c r="AF21" i="41"/>
  <c r="V109" i="37"/>
  <c r="V125" i="37"/>
  <c r="T80" i="37"/>
  <c r="T97" i="37"/>
  <c r="V122" i="37"/>
  <c r="V106" i="37"/>
  <c r="V121" i="37"/>
  <c r="W92" i="37"/>
  <c r="W80" i="37"/>
  <c r="U80" i="37"/>
  <c r="Z93" i="37"/>
  <c r="Z95" i="37"/>
  <c r="U89" i="37"/>
  <c r="Z86" i="37"/>
  <c r="T82" i="37"/>
  <c r="T84" i="37"/>
  <c r="T85" i="37"/>
  <c r="T94" i="37"/>
  <c r="V115" i="37"/>
  <c r="V110" i="37"/>
  <c r="V124" i="37"/>
  <c r="V117" i="37"/>
  <c r="W79" i="37"/>
  <c r="W81" i="37"/>
  <c r="W83" i="37"/>
  <c r="W88" i="37"/>
  <c r="U93" i="37"/>
  <c r="U84" i="37"/>
  <c r="Z85" i="37"/>
  <c r="Z82" i="37"/>
  <c r="U88" i="37"/>
  <c r="U96" i="37"/>
  <c r="AB107" i="37"/>
  <c r="AA112" i="37"/>
  <c r="T89" i="37"/>
  <c r="T81" i="37"/>
  <c r="V112" i="37"/>
  <c r="W89" i="37"/>
  <c r="W85" i="37"/>
  <c r="W91" i="37"/>
  <c r="T95" i="37"/>
  <c r="T86" i="37"/>
  <c r="V119" i="37"/>
  <c r="V107" i="37"/>
  <c r="V113" i="37"/>
  <c r="W90" i="37"/>
  <c r="W78" i="37"/>
  <c r="W87" i="37"/>
  <c r="W97" i="37"/>
  <c r="Z83" i="37"/>
  <c r="U95" i="37"/>
  <c r="U85" i="37"/>
  <c r="Z79" i="37"/>
  <c r="Z92" i="37"/>
  <c r="U94" i="37"/>
  <c r="Z81" i="37"/>
  <c r="AA121" i="37"/>
  <c r="T96" i="37"/>
  <c r="T83" i="37"/>
  <c r="W96" i="37"/>
  <c r="K21" i="37"/>
  <c r="K22" i="37" s="1"/>
  <c r="J22" i="37"/>
  <c r="Q22" i="37"/>
  <c r="G36" i="16" s="1"/>
  <c r="K36" i="16" s="1"/>
  <c r="M21" i="37"/>
  <c r="M22" i="37" s="1"/>
  <c r="L22" i="37"/>
  <c r="G32" i="16" s="1"/>
  <c r="K32" i="16" s="1"/>
  <c r="AA88" i="37"/>
  <c r="V81" i="37"/>
  <c r="AB108" i="37"/>
  <c r="AA92" i="37"/>
  <c r="X111" i="37"/>
  <c r="AB122" i="37"/>
  <c r="AA89" i="37"/>
  <c r="AB112" i="37"/>
  <c r="AB123" i="37"/>
  <c r="AA90" i="37"/>
  <c r="K12" i="40"/>
  <c r="K19" i="40" s="1"/>
  <c r="Y21" i="37"/>
  <c r="Y15" i="37"/>
  <c r="Y16" i="37"/>
  <c r="Y18" i="37"/>
  <c r="Y20" i="37"/>
  <c r="Y14" i="37"/>
  <c r="Y17" i="37"/>
  <c r="Y19" i="37"/>
  <c r="AB37" i="37"/>
  <c r="AB31" i="37"/>
  <c r="AB33" i="37"/>
  <c r="AB35" i="37"/>
  <c r="AB36" i="37"/>
  <c r="AB34" i="37"/>
  <c r="AB32" i="37"/>
  <c r="AB30" i="37"/>
  <c r="Z63" i="37"/>
  <c r="Z65" i="37"/>
  <c r="Z67" i="37"/>
  <c r="Z64" i="37"/>
  <c r="Z68" i="37"/>
  <c r="Z62" i="37"/>
  <c r="Z66" i="37"/>
  <c r="AA78" i="37"/>
  <c r="AB121" i="37"/>
  <c r="AB118" i="37"/>
  <c r="AB119" i="37"/>
  <c r="AA95" i="37"/>
  <c r="AA84" i="37"/>
  <c r="AA85" i="37"/>
  <c r="AA86" i="37"/>
  <c r="AC115" i="37"/>
  <c r="AA91" i="37"/>
  <c r="AA80" i="37"/>
  <c r="X112" i="37"/>
  <c r="U15" i="37"/>
  <c r="U18" i="37"/>
  <c r="U20" i="37"/>
  <c r="U16" i="37"/>
  <c r="U14" i="37"/>
  <c r="U17" i="37"/>
  <c r="U19" i="37"/>
  <c r="AC161" i="37"/>
  <c r="AD161" i="37" s="1"/>
  <c r="AC155" i="37"/>
  <c r="AD155" i="37" s="1"/>
  <c r="AC159" i="37"/>
  <c r="AD159" i="37" s="1"/>
  <c r="AC156" i="37"/>
  <c r="AD156" i="37" s="1"/>
  <c r="AC160" i="37"/>
  <c r="AD160" i="37" s="1"/>
  <c r="AC157" i="37"/>
  <c r="AD157" i="37" s="1"/>
  <c r="AC158" i="37"/>
  <c r="AD158" i="37" s="1"/>
  <c r="AC154" i="37"/>
  <c r="AD154" i="37" s="1"/>
  <c r="AC46" i="37"/>
  <c r="AC47" i="37"/>
  <c r="AC49" i="37"/>
  <c r="AC52" i="37"/>
  <c r="AC50" i="37"/>
  <c r="AC51" i="37"/>
  <c r="AC48" i="37"/>
  <c r="AC21" i="37"/>
  <c r="AC15" i="37"/>
  <c r="AC14" i="37"/>
  <c r="AC16" i="37"/>
  <c r="AC18" i="37"/>
  <c r="AC20" i="37"/>
  <c r="AC17" i="37"/>
  <c r="AC19" i="37"/>
  <c r="AC145" i="37"/>
  <c r="AD145" i="37" s="1"/>
  <c r="AC142" i="37"/>
  <c r="AD142" i="37" s="1"/>
  <c r="AC146" i="37"/>
  <c r="AD146" i="37" s="1"/>
  <c r="AC143" i="37"/>
  <c r="AD143" i="37" s="1"/>
  <c r="AC144" i="37"/>
  <c r="AD144" i="37" s="1"/>
  <c r="AC147" i="37"/>
  <c r="AD147" i="37" s="1"/>
  <c r="AC148" i="37"/>
  <c r="AD148" i="37" s="1"/>
  <c r="U13" i="39"/>
  <c r="U17" i="39"/>
  <c r="U14" i="39"/>
  <c r="U18" i="39"/>
  <c r="U16" i="39"/>
  <c r="U15" i="39"/>
  <c r="U19" i="39"/>
  <c r="R117" i="37"/>
  <c r="N117" i="37"/>
  <c r="J117" i="37" s="1"/>
  <c r="K117" i="37" s="1"/>
  <c r="Q117" i="37"/>
  <c r="AB21" i="37"/>
  <c r="AB15" i="37"/>
  <c r="AB17" i="37"/>
  <c r="AB19" i="37"/>
  <c r="AB14" i="37"/>
  <c r="AB16" i="37"/>
  <c r="AB18" i="37"/>
  <c r="AB20" i="37"/>
  <c r="Y37" i="37"/>
  <c r="Y30" i="37"/>
  <c r="Y31" i="37"/>
  <c r="Y32" i="37"/>
  <c r="Y33" i="37"/>
  <c r="Y34" i="37"/>
  <c r="Y35" i="37"/>
  <c r="Y36" i="37"/>
  <c r="U50" i="37"/>
  <c r="U51" i="37"/>
  <c r="U48" i="37"/>
  <c r="U49" i="37"/>
  <c r="U46" i="37"/>
  <c r="U47" i="37"/>
  <c r="U52" i="37"/>
  <c r="Z53" i="37"/>
  <c r="Z47" i="37"/>
  <c r="Z49" i="37"/>
  <c r="Z51" i="37"/>
  <c r="Z50" i="37"/>
  <c r="Z48" i="37"/>
  <c r="Z52" i="37"/>
  <c r="Z46" i="37"/>
  <c r="V63" i="37"/>
  <c r="V65" i="37"/>
  <c r="V67" i="37"/>
  <c r="V62" i="37"/>
  <c r="V66" i="37"/>
  <c r="V64" i="37"/>
  <c r="V68" i="37"/>
  <c r="AA69" i="37"/>
  <c r="AA63" i="37"/>
  <c r="AA65" i="37"/>
  <c r="AA67" i="37"/>
  <c r="AA62" i="37"/>
  <c r="AA66" i="37"/>
  <c r="AA64" i="37"/>
  <c r="AA68" i="37"/>
  <c r="W69" i="37"/>
  <c r="W63" i="37"/>
  <c r="W65" i="37"/>
  <c r="W67" i="37"/>
  <c r="W64" i="37"/>
  <c r="W62" i="37"/>
  <c r="W66" i="37"/>
  <c r="W68" i="37"/>
  <c r="AG23" i="39"/>
  <c r="AG13" i="39"/>
  <c r="AG16" i="39"/>
  <c r="AG15" i="39"/>
  <c r="AG18" i="39"/>
  <c r="AG14" i="39"/>
  <c r="AG17" i="39"/>
  <c r="AG19" i="39"/>
  <c r="T16" i="37"/>
  <c r="T14" i="37"/>
  <c r="T15" i="37"/>
  <c r="T17" i="37"/>
  <c r="T19" i="37"/>
  <c r="T18" i="37"/>
  <c r="T20" i="37"/>
  <c r="T37" i="37"/>
  <c r="T31" i="37"/>
  <c r="T33" i="37"/>
  <c r="T35" i="37"/>
  <c r="T32" i="37"/>
  <c r="T30" i="37"/>
  <c r="T36" i="37"/>
  <c r="T34" i="37"/>
  <c r="V14" i="39"/>
  <c r="V18" i="39"/>
  <c r="V13" i="39"/>
  <c r="V17" i="39"/>
  <c r="V16" i="39"/>
  <c r="V15" i="39"/>
  <c r="V19" i="39"/>
  <c r="Z15" i="37"/>
  <c r="Z16" i="37"/>
  <c r="Z18" i="37"/>
  <c r="Z20" i="37"/>
  <c r="Z14" i="37"/>
  <c r="Z17" i="37"/>
  <c r="Z19" i="37"/>
  <c r="Y48" i="37"/>
  <c r="Y49" i="37"/>
  <c r="Y51" i="37"/>
  <c r="Y46" i="37"/>
  <c r="Y47" i="37"/>
  <c r="Y52" i="37"/>
  <c r="Y50" i="37"/>
  <c r="W53" i="37"/>
  <c r="W46" i="37"/>
  <c r="W51" i="37"/>
  <c r="W52" i="37"/>
  <c r="W47" i="37"/>
  <c r="W48" i="37"/>
  <c r="W49" i="37"/>
  <c r="W50" i="37"/>
  <c r="AB124" i="37"/>
  <c r="AB115" i="37"/>
  <c r="X21" i="37"/>
  <c r="X14" i="37"/>
  <c r="X15" i="37"/>
  <c r="X18" i="37"/>
  <c r="X17" i="37"/>
  <c r="X19" i="37"/>
  <c r="X16" i="37"/>
  <c r="X20" i="37"/>
  <c r="AC137" i="37"/>
  <c r="AD137" i="37" s="1"/>
  <c r="AC131" i="37"/>
  <c r="AD131" i="37" s="1"/>
  <c r="AC135" i="37"/>
  <c r="AD135" i="37" s="1"/>
  <c r="AC132" i="37"/>
  <c r="AD132" i="37" s="1"/>
  <c r="AC136" i="37"/>
  <c r="AD136" i="37" s="1"/>
  <c r="AC130" i="37"/>
  <c r="AD130" i="37" s="1"/>
  <c r="AC133" i="37"/>
  <c r="AD133" i="37" s="1"/>
  <c r="AC134" i="37"/>
  <c r="AD134" i="37" s="1"/>
  <c r="T53" i="37"/>
  <c r="T46" i="37"/>
  <c r="T48" i="37"/>
  <c r="T50" i="37"/>
  <c r="T52" i="37"/>
  <c r="T49" i="37"/>
  <c r="T47" i="37"/>
  <c r="T51" i="37"/>
  <c r="V21" i="37"/>
  <c r="V14" i="37"/>
  <c r="V17" i="37"/>
  <c r="V18" i="37"/>
  <c r="V20" i="37"/>
  <c r="V19" i="37"/>
  <c r="V15" i="37"/>
  <c r="V16" i="37"/>
  <c r="AC173" i="37"/>
  <c r="AD173" i="37" s="1"/>
  <c r="AC169" i="37"/>
  <c r="AD169" i="37" s="1"/>
  <c r="AC166" i="37"/>
  <c r="AD166" i="37" s="1"/>
  <c r="AC170" i="37"/>
  <c r="AD170" i="37" s="1"/>
  <c r="AC171" i="37"/>
  <c r="AD171" i="37" s="1"/>
  <c r="AC172" i="37"/>
  <c r="AD172" i="37" s="1"/>
  <c r="AC167" i="37"/>
  <c r="AD167" i="37" s="1"/>
  <c r="AC168" i="37"/>
  <c r="AD168" i="37" s="1"/>
  <c r="Y13" i="39"/>
  <c r="Y14" i="39"/>
  <c r="Y15" i="39"/>
  <c r="Y16" i="39"/>
  <c r="Y17" i="39"/>
  <c r="Y18" i="39"/>
  <c r="Y19" i="39"/>
  <c r="U37" i="37"/>
  <c r="U30" i="37"/>
  <c r="U33" i="37"/>
  <c r="U34" i="37"/>
  <c r="U31" i="37"/>
  <c r="U32" i="37"/>
  <c r="U35" i="37"/>
  <c r="U36" i="37"/>
  <c r="Z37" i="37"/>
  <c r="Z30" i="37"/>
  <c r="Z32" i="37"/>
  <c r="Z34" i="37"/>
  <c r="Z36" i="37"/>
  <c r="Z33" i="37"/>
  <c r="Z31" i="37"/>
  <c r="Z35" i="37"/>
  <c r="V53" i="37"/>
  <c r="V47" i="37"/>
  <c r="V49" i="37"/>
  <c r="V51" i="37"/>
  <c r="V52" i="37"/>
  <c r="V46" i="37"/>
  <c r="V50" i="37"/>
  <c r="V48" i="37"/>
  <c r="AA51" i="37"/>
  <c r="AA52" i="37"/>
  <c r="AA49" i="37"/>
  <c r="AA50" i="37"/>
  <c r="AA47" i="37"/>
  <c r="AA48" i="37"/>
  <c r="AA46" i="37"/>
  <c r="X62" i="37"/>
  <c r="X64" i="37"/>
  <c r="X66" i="37"/>
  <c r="X68" i="37"/>
  <c r="X65" i="37"/>
  <c r="X63" i="37"/>
  <c r="X67" i="37"/>
  <c r="AB62" i="37"/>
  <c r="AB64" i="37"/>
  <c r="AB66" i="37"/>
  <c r="AB68" i="37"/>
  <c r="AB63" i="37"/>
  <c r="AB67" i="37"/>
  <c r="AB65" i="37"/>
  <c r="W21" i="37"/>
  <c r="W14" i="37"/>
  <c r="W16" i="37"/>
  <c r="W17" i="37"/>
  <c r="W19" i="37"/>
  <c r="W15" i="37"/>
  <c r="W18" i="37"/>
  <c r="W20" i="37"/>
  <c r="K97" i="16"/>
  <c r="E28" i="41"/>
  <c r="E24" i="41"/>
  <c r="E20" i="41"/>
  <c r="AH13" i="39"/>
  <c r="AH14" i="39"/>
  <c r="AH15" i="39"/>
  <c r="AH16" i="39"/>
  <c r="AH17" i="39"/>
  <c r="AH18" i="39"/>
  <c r="AH19" i="39"/>
  <c r="T69" i="37"/>
  <c r="T62" i="37"/>
  <c r="T64" i="37"/>
  <c r="T66" i="37"/>
  <c r="T68" i="37"/>
  <c r="T63" i="37"/>
  <c r="T67" i="37"/>
  <c r="T65" i="37"/>
  <c r="AA13" i="39"/>
  <c r="AA14" i="39"/>
  <c r="AA15" i="39"/>
  <c r="AA16" i="39"/>
  <c r="AA17" i="39"/>
  <c r="AA18" i="39"/>
  <c r="AA19" i="39"/>
  <c r="X37" i="37"/>
  <c r="X31" i="37"/>
  <c r="X33" i="37"/>
  <c r="X35" i="37"/>
  <c r="X30" i="37"/>
  <c r="X36" i="37"/>
  <c r="X32" i="37"/>
  <c r="X34" i="37"/>
  <c r="U62" i="37"/>
  <c r="U64" i="37"/>
  <c r="U66" i="37"/>
  <c r="U68" i="37"/>
  <c r="U63" i="37"/>
  <c r="U67" i="37"/>
  <c r="U65" i="37"/>
  <c r="AC185" i="37"/>
  <c r="AD185" i="37" s="1"/>
  <c r="AC179" i="37"/>
  <c r="AD179" i="37" s="1"/>
  <c r="AC183" i="37"/>
  <c r="AD183" i="37" s="1"/>
  <c r="AC180" i="37"/>
  <c r="AD180" i="37" s="1"/>
  <c r="AC184" i="37"/>
  <c r="AD184" i="37" s="1"/>
  <c r="AC182" i="37"/>
  <c r="AD182" i="37" s="1"/>
  <c r="AC178" i="37"/>
  <c r="AD178" i="37" s="1"/>
  <c r="AC181" i="37"/>
  <c r="AD181" i="37" s="1"/>
  <c r="Z69" i="37"/>
  <c r="V78" i="37"/>
  <c r="AB109" i="37"/>
  <c r="AB113" i="37"/>
  <c r="AB114" i="37"/>
  <c r="AA87" i="37"/>
  <c r="AA97" i="37"/>
  <c r="AA81" i="37"/>
  <c r="AA82" i="37"/>
  <c r="AC124" i="37"/>
  <c r="AA96" i="37"/>
  <c r="AB117" i="37"/>
  <c r="W24" i="41"/>
  <c r="X108" i="37"/>
  <c r="V90" i="37"/>
  <c r="AB125" i="37"/>
  <c r="AB116" i="37"/>
  <c r="AB106" i="37"/>
  <c r="AB110" i="37"/>
  <c r="AB111" i="37"/>
  <c r="AA79" i="37"/>
  <c r="AA93" i="37"/>
  <c r="AA94" i="37"/>
  <c r="AC108" i="37"/>
  <c r="H25" i="35"/>
  <c r="AA14" i="37"/>
  <c r="AA17" i="37"/>
  <c r="AA19" i="37"/>
  <c r="AA15" i="37"/>
  <c r="AA16" i="37"/>
  <c r="AA18" i="37"/>
  <c r="AA20" i="37"/>
  <c r="AC69" i="37"/>
  <c r="AC62" i="37"/>
  <c r="AC64" i="37"/>
  <c r="AC66" i="37"/>
  <c r="AC68" i="37"/>
  <c r="AC63" i="37"/>
  <c r="AC67" i="37"/>
  <c r="AC65" i="37"/>
  <c r="AC37" i="37"/>
  <c r="AC30" i="37"/>
  <c r="AC35" i="37"/>
  <c r="AC36" i="37"/>
  <c r="AC33" i="37"/>
  <c r="AC34" i="37"/>
  <c r="AC31" i="37"/>
  <c r="AC32" i="37"/>
  <c r="AF13" i="39"/>
  <c r="AF14" i="39"/>
  <c r="AF15" i="39"/>
  <c r="AF16" i="39"/>
  <c r="AF17" i="39"/>
  <c r="AF18" i="39"/>
  <c r="AF19" i="39"/>
  <c r="T16" i="39"/>
  <c r="T15" i="39"/>
  <c r="T19" i="39"/>
  <c r="T17" i="39"/>
  <c r="T14" i="39"/>
  <c r="T18" i="39"/>
  <c r="T13" i="39"/>
  <c r="Z13" i="39"/>
  <c r="Z14" i="39"/>
  <c r="Z15" i="39"/>
  <c r="Z16" i="39"/>
  <c r="Z17" i="39"/>
  <c r="Z18" i="39"/>
  <c r="Z19" i="39"/>
  <c r="V37" i="37"/>
  <c r="V30" i="37"/>
  <c r="V32" i="37"/>
  <c r="V34" i="37"/>
  <c r="V36" i="37"/>
  <c r="V35" i="37"/>
  <c r="V33" i="37"/>
  <c r="V31" i="37"/>
  <c r="AA37" i="37"/>
  <c r="AA34" i="37"/>
  <c r="AA35" i="37"/>
  <c r="AA32" i="37"/>
  <c r="AA33" i="37"/>
  <c r="AA36" i="37"/>
  <c r="AA30" i="37"/>
  <c r="AA31" i="37"/>
  <c r="X46" i="37"/>
  <c r="X48" i="37"/>
  <c r="X50" i="37"/>
  <c r="X52" i="37"/>
  <c r="X47" i="37"/>
  <c r="X49" i="37"/>
  <c r="X51" i="37"/>
  <c r="AB46" i="37"/>
  <c r="AB48" i="37"/>
  <c r="AB50" i="37"/>
  <c r="AB52" i="37"/>
  <c r="AB51" i="37"/>
  <c r="AB49" i="37"/>
  <c r="AB47" i="37"/>
  <c r="Y69" i="37"/>
  <c r="Y62" i="37"/>
  <c r="Y64" i="37"/>
  <c r="Y66" i="37"/>
  <c r="Y68" i="37"/>
  <c r="Y65" i="37"/>
  <c r="Y67" i="37"/>
  <c r="Y63" i="37"/>
  <c r="W37" i="37"/>
  <c r="W30" i="37"/>
  <c r="W36" i="37"/>
  <c r="W34" i="37"/>
  <c r="W35" i="37"/>
  <c r="W31" i="37"/>
  <c r="W32" i="37"/>
  <c r="W33" i="37"/>
  <c r="Q15" i="41"/>
  <c r="E12" i="43"/>
  <c r="G39" i="43" s="1"/>
  <c r="E30" i="41"/>
  <c r="P30" i="41" s="1"/>
  <c r="E26" i="41"/>
  <c r="K26" i="41" s="1"/>
  <c r="E27" i="41"/>
  <c r="K27" i="41" s="1"/>
  <c r="N27" i="41" s="1"/>
  <c r="E23" i="41"/>
  <c r="E19" i="41"/>
  <c r="K19" i="41" s="1"/>
  <c r="Q78" i="37"/>
  <c r="L90" i="37"/>
  <c r="M90" i="37" s="1"/>
  <c r="R69" i="37"/>
  <c r="Q69" i="37"/>
  <c r="Q70" i="37" s="1"/>
  <c r="Q53" i="37"/>
  <c r="R83" i="37"/>
  <c r="X17" i="41"/>
  <c r="X24" i="41"/>
  <c r="X28" i="41"/>
  <c r="X18" i="41"/>
  <c r="X26" i="41"/>
  <c r="X29" i="41"/>
  <c r="X21" i="41"/>
  <c r="X27" i="41"/>
  <c r="AC118" i="37"/>
  <c r="AC112" i="37"/>
  <c r="E14" i="24"/>
  <c r="G41" i="24" s="1"/>
  <c r="H12" i="35"/>
  <c r="H38" i="34"/>
  <c r="G23" i="39"/>
  <c r="G24" i="39" s="1"/>
  <c r="Q24" i="39"/>
  <c r="E38" i="24"/>
  <c r="G43" i="24" s="1"/>
  <c r="E30" i="24"/>
  <c r="G42" i="24" s="1"/>
  <c r="H24" i="36"/>
  <c r="G27" i="44"/>
  <c r="G28" i="44" s="1"/>
  <c r="G28" i="29"/>
  <c r="X114" i="37"/>
  <c r="T113" i="37"/>
  <c r="AB24" i="41"/>
  <c r="AB18" i="41"/>
  <c r="AB27" i="41"/>
  <c r="AB17" i="41"/>
  <c r="AB28" i="41"/>
  <c r="AC90" i="37"/>
  <c r="AC84" i="37"/>
  <c r="AC78" i="37"/>
  <c r="AC91" i="37"/>
  <c r="AC81" i="37"/>
  <c r="AC93" i="37"/>
  <c r="AC88" i="37"/>
  <c r="AC79" i="37"/>
  <c r="AC95" i="37"/>
  <c r="AC89" i="37"/>
  <c r="AC92" i="37"/>
  <c r="AC83" i="37"/>
  <c r="AC86" i="37"/>
  <c r="AC97" i="37"/>
  <c r="X80" i="37"/>
  <c r="X83" i="37"/>
  <c r="X79" i="37"/>
  <c r="X87" i="37"/>
  <c r="X82" i="37"/>
  <c r="X81" i="37"/>
  <c r="X78" i="37"/>
  <c r="X95" i="37"/>
  <c r="X91" i="37"/>
  <c r="X93" i="37"/>
  <c r="X96" i="37"/>
  <c r="X84" i="37"/>
  <c r="X92" i="37"/>
  <c r="X85" i="37"/>
  <c r="X97" i="37"/>
  <c r="X94" i="37"/>
  <c r="Y122" i="37"/>
  <c r="Y115" i="37"/>
  <c r="Y111" i="37"/>
  <c r="W125" i="37"/>
  <c r="W124" i="37"/>
  <c r="AG27" i="41"/>
  <c r="AG22" i="41"/>
  <c r="AC87" i="37"/>
  <c r="X86" i="37"/>
  <c r="AC96" i="37"/>
  <c r="AC85" i="37"/>
  <c r="AB30" i="41"/>
  <c r="AC82" i="37"/>
  <c r="W114" i="37"/>
  <c r="AC80" i="37"/>
  <c r="AB19" i="41"/>
  <c r="AB23" i="41"/>
  <c r="AF30" i="41"/>
  <c r="Z106" i="37"/>
  <c r="Z113" i="37"/>
  <c r="AF15" i="41"/>
  <c r="AF26" i="41"/>
  <c r="Y17" i="41"/>
  <c r="U122" i="37"/>
  <c r="U115" i="37"/>
  <c r="U123" i="37"/>
  <c r="U124" i="37"/>
  <c r="W14" i="41"/>
  <c r="Z120" i="37"/>
  <c r="Z107" i="37"/>
  <c r="AE14" i="41"/>
  <c r="AF28" i="41"/>
  <c r="AF22" i="41"/>
  <c r="V114" i="37"/>
  <c r="V108" i="37"/>
  <c r="V118" i="37"/>
  <c r="V111" i="37"/>
  <c r="Z84" i="37"/>
  <c r="U117" i="37"/>
  <c r="Z89" i="37"/>
  <c r="U87" i="37"/>
  <c r="Z91" i="37"/>
  <c r="U106" i="37"/>
  <c r="Z78" i="37"/>
  <c r="Z96" i="37"/>
  <c r="AA20" i="41"/>
  <c r="AA18" i="41"/>
  <c r="AA25" i="41"/>
  <c r="AA15" i="41"/>
  <c r="AA108" i="37"/>
  <c r="AC113" i="37"/>
  <c r="AC106" i="37"/>
  <c r="AE17" i="41"/>
  <c r="AA16" i="41"/>
  <c r="AE24" i="41"/>
  <c r="AA27" i="41"/>
  <c r="V28" i="41"/>
  <c r="Y23" i="41"/>
  <c r="T121" i="37"/>
  <c r="Y108" i="37"/>
  <c r="Y83" i="37"/>
  <c r="Y28" i="41"/>
  <c r="V26" i="41"/>
  <c r="Y89" i="37"/>
  <c r="Y97" i="37"/>
  <c r="W119" i="37"/>
  <c r="W113" i="37"/>
  <c r="AG17" i="41"/>
  <c r="Y123" i="37"/>
  <c r="Y22" i="41"/>
  <c r="Y125" i="37"/>
  <c r="Y79" i="37"/>
  <c r="W120" i="37"/>
  <c r="V22" i="41"/>
  <c r="Y124" i="37"/>
  <c r="Y19" i="41"/>
  <c r="T122" i="37"/>
  <c r="Y110" i="37"/>
  <c r="Y78" i="37"/>
  <c r="W116" i="37"/>
  <c r="W122" i="37"/>
  <c r="AB89" i="37"/>
  <c r="W118" i="37"/>
  <c r="Y30" i="41"/>
  <c r="W22" i="41"/>
  <c r="Z115" i="37"/>
  <c r="Z112" i="37"/>
  <c r="Z118" i="37"/>
  <c r="V16" i="41"/>
  <c r="V23" i="41"/>
  <c r="V18" i="41"/>
  <c r="V15" i="41"/>
  <c r="V25" i="41"/>
  <c r="AF25" i="41"/>
  <c r="Y120" i="37"/>
  <c r="Y118" i="37"/>
  <c r="AF24" i="41"/>
  <c r="AF19" i="41"/>
  <c r="AF18" i="41"/>
  <c r="Y18" i="41"/>
  <c r="Y26" i="41"/>
  <c r="Y21" i="41"/>
  <c r="Y27" i="41"/>
  <c r="T107" i="37"/>
  <c r="T116" i="37"/>
  <c r="T106" i="37"/>
  <c r="Y117" i="37"/>
  <c r="Y119" i="37"/>
  <c r="Y116" i="37"/>
  <c r="Y86" i="37"/>
  <c r="Y96" i="37"/>
  <c r="Y95" i="37"/>
  <c r="Y87" i="37"/>
  <c r="Y81" i="37"/>
  <c r="U78" i="37"/>
  <c r="U107" i="37"/>
  <c r="U81" i="37"/>
  <c r="Z117" i="37"/>
  <c r="U97" i="37"/>
  <c r="U114" i="37"/>
  <c r="Z111" i="37"/>
  <c r="U109" i="37"/>
  <c r="T111" i="37"/>
  <c r="T120" i="37"/>
  <c r="T108" i="37"/>
  <c r="W106" i="37"/>
  <c r="W115" i="37"/>
  <c r="AB91" i="37"/>
  <c r="AC110" i="37"/>
  <c r="AC111" i="37"/>
  <c r="AC120" i="37"/>
  <c r="AC125" i="37"/>
  <c r="W107" i="37"/>
  <c r="AC117" i="37"/>
  <c r="Z119" i="37"/>
  <c r="T114" i="37"/>
  <c r="V19" i="41"/>
  <c r="K46" i="16"/>
  <c r="Y29" i="41"/>
  <c r="V20" i="41"/>
  <c r="V17" i="41"/>
  <c r="V24" i="41"/>
  <c r="Y121" i="37"/>
  <c r="Y24" i="41"/>
  <c r="Y25" i="41"/>
  <c r="T125" i="37"/>
  <c r="T112" i="37"/>
  <c r="Y107" i="37"/>
  <c r="Y114" i="37"/>
  <c r="Y88" i="37"/>
  <c r="Y82" i="37"/>
  <c r="Y94" i="37"/>
  <c r="Y80" i="37"/>
  <c r="AG24" i="41"/>
  <c r="AG16" i="41"/>
  <c r="W108" i="37"/>
  <c r="W112" i="37"/>
  <c r="T123" i="37"/>
  <c r="Z123" i="37"/>
  <c r="Z109" i="37"/>
  <c r="Z108" i="37"/>
  <c r="Z121" i="37"/>
  <c r="V30" i="41"/>
  <c r="V14" i="41"/>
  <c r="V29" i="41"/>
  <c r="V27" i="41"/>
  <c r="Y112" i="37"/>
  <c r="Y106" i="37"/>
  <c r="Y113" i="37"/>
  <c r="AF20" i="41"/>
  <c r="AF14" i="41"/>
  <c r="AF16" i="41"/>
  <c r="Y20" i="41"/>
  <c r="Y15" i="41"/>
  <c r="Y14" i="41"/>
  <c r="T110" i="37"/>
  <c r="T118" i="37"/>
  <c r="Y109" i="37"/>
  <c r="Y85" i="37"/>
  <c r="Y84" i="37"/>
  <c r="Y91" i="37"/>
  <c r="Y90" i="37"/>
  <c r="U90" i="37"/>
  <c r="U125" i="37"/>
  <c r="U92" i="37"/>
  <c r="U79" i="37"/>
  <c r="U86" i="37"/>
  <c r="U116" i="37"/>
  <c r="Z122" i="37"/>
  <c r="U82" i="37"/>
  <c r="T119" i="37"/>
  <c r="AC114" i="37"/>
  <c r="W121" i="37"/>
  <c r="W123" i="37"/>
  <c r="AC121" i="37"/>
  <c r="AC123" i="37"/>
  <c r="AC107" i="37"/>
  <c r="AC116" i="37"/>
  <c r="W109" i="37"/>
  <c r="W117" i="37"/>
  <c r="AC122" i="37"/>
  <c r="U120" i="37"/>
  <c r="U108" i="37"/>
  <c r="W111" i="37"/>
  <c r="T117" i="37"/>
  <c r="P29" i="41"/>
  <c r="L106" i="37"/>
  <c r="M106" i="37" s="1"/>
  <c r="R118" i="37"/>
  <c r="N110" i="37"/>
  <c r="J110" i="37" s="1"/>
  <c r="K110" i="37" s="1"/>
  <c r="I53" i="37"/>
  <c r="I54" i="37" s="1"/>
  <c r="Q120" i="37"/>
  <c r="I110" i="37"/>
  <c r="L78" i="37"/>
  <c r="M78" i="37" s="1"/>
  <c r="Q86" i="37"/>
  <c r="N53" i="37"/>
  <c r="J53" i="37" s="1"/>
  <c r="Q106" i="37"/>
  <c r="L114" i="37"/>
  <c r="M114" i="37" s="1"/>
  <c r="I122" i="37"/>
  <c r="N78" i="37"/>
  <c r="J78" i="37" s="1"/>
  <c r="K78" i="37" s="1"/>
  <c r="R81" i="37"/>
  <c r="L118" i="37"/>
  <c r="M118" i="37" s="1"/>
  <c r="L84" i="37"/>
  <c r="M84" i="37" s="1"/>
  <c r="Q88" i="37"/>
  <c r="L96" i="37"/>
  <c r="M96" i="37" s="1"/>
  <c r="I80" i="37"/>
  <c r="Q85" i="37"/>
  <c r="Q93" i="37"/>
  <c r="Q97" i="37"/>
  <c r="I21" i="37"/>
  <c r="I81" i="37"/>
  <c r="P81" i="37" s="1"/>
  <c r="I117" i="37"/>
  <c r="Q125" i="37"/>
  <c r="Q91" i="37"/>
  <c r="L91" i="37"/>
  <c r="M91" i="37" s="1"/>
  <c r="L83" i="37"/>
  <c r="M83" i="37" s="1"/>
  <c r="Q118" i="37"/>
  <c r="Q95" i="37"/>
  <c r="R91" i="37"/>
  <c r="R106" i="37"/>
  <c r="I106" i="37"/>
  <c r="R87" i="37"/>
  <c r="L87" i="37"/>
  <c r="M87" i="37" s="1"/>
  <c r="I114" i="37"/>
  <c r="Q114" i="37"/>
  <c r="Q110" i="37"/>
  <c r="I118" i="37"/>
  <c r="P118" i="37" s="1"/>
  <c r="L110" i="37"/>
  <c r="M110" i="37" s="1"/>
  <c r="N106" i="37"/>
  <c r="J106" i="37" s="1"/>
  <c r="K106" i="37" s="1"/>
  <c r="L109" i="37"/>
  <c r="M109" i="37" s="1"/>
  <c r="R109" i="37"/>
  <c r="I121" i="37"/>
  <c r="R94" i="37"/>
  <c r="I123" i="37"/>
  <c r="P123" i="37" s="1"/>
  <c r="L117" i="37"/>
  <c r="M117" i="37" s="1"/>
  <c r="Q80" i="37"/>
  <c r="R84" i="37"/>
  <c r="R88" i="37"/>
  <c r="I124" i="37"/>
  <c r="P124" i="37" s="1"/>
  <c r="N84" i="37"/>
  <c r="J84" i="37" s="1"/>
  <c r="K84" i="37" s="1"/>
  <c r="Q108" i="37"/>
  <c r="N108" i="37"/>
  <c r="J108" i="37" s="1"/>
  <c r="I88" i="37"/>
  <c r="N88" i="37"/>
  <c r="J88" i="37" s="1"/>
  <c r="K88" i="37" s="1"/>
  <c r="L80" i="37"/>
  <c r="M80" i="37" s="1"/>
  <c r="N96" i="37"/>
  <c r="J96" i="37" s="1"/>
  <c r="K96" i="37" s="1"/>
  <c r="Q92" i="37"/>
  <c r="I84" i="37"/>
  <c r="O84" i="37" s="1"/>
  <c r="N92" i="37"/>
  <c r="J92" i="37" s="1"/>
  <c r="K92" i="37" s="1"/>
  <c r="I112" i="37"/>
  <c r="L120" i="37"/>
  <c r="M120" i="37" s="1"/>
  <c r="R120" i="37"/>
  <c r="Q96" i="37"/>
  <c r="N107" i="37"/>
  <c r="J107" i="37" s="1"/>
  <c r="K107" i="37" s="1"/>
  <c r="R124" i="37"/>
  <c r="L124" i="37"/>
  <c r="M124" i="37" s="1"/>
  <c r="L92" i="37"/>
  <c r="M92" i="37" s="1"/>
  <c r="N80" i="37"/>
  <c r="J80" i="37" s="1"/>
  <c r="K80" i="37" s="1"/>
  <c r="I120" i="37"/>
  <c r="N120" i="37"/>
  <c r="J120" i="37" s="1"/>
  <c r="K120" i="37" s="1"/>
  <c r="I92" i="37"/>
  <c r="O92" i="37" s="1"/>
  <c r="L119" i="37"/>
  <c r="M119" i="37" s="1"/>
  <c r="I82" i="37"/>
  <c r="O82" i="37" s="1"/>
  <c r="I78" i="37"/>
  <c r="R123" i="37"/>
  <c r="N112" i="37"/>
  <c r="J112" i="37" s="1"/>
  <c r="K112" i="37" s="1"/>
  <c r="R78" i="37"/>
  <c r="L94" i="37"/>
  <c r="M94" i="37" s="1"/>
  <c r="I108" i="37"/>
  <c r="L108" i="37"/>
  <c r="M108" i="37" s="1"/>
  <c r="I94" i="37"/>
  <c r="L53" i="37"/>
  <c r="Q112" i="37"/>
  <c r="N119" i="37"/>
  <c r="J119" i="37" s="1"/>
  <c r="K119" i="37" s="1"/>
  <c r="L112" i="37"/>
  <c r="M112" i="37" s="1"/>
  <c r="Q94" i="37"/>
  <c r="R82" i="37"/>
  <c r="I111" i="37"/>
  <c r="I115" i="37"/>
  <c r="G95" i="16"/>
  <c r="K95" i="16" s="1"/>
  <c r="L122" i="37"/>
  <c r="M122" i="37" s="1"/>
  <c r="Q82" i="37"/>
  <c r="I79" i="37"/>
  <c r="L93" i="37"/>
  <c r="M93" i="37" s="1"/>
  <c r="L81" i="37"/>
  <c r="M81" i="37" s="1"/>
  <c r="R93" i="37"/>
  <c r="N97" i="37"/>
  <c r="J97" i="37" s="1"/>
  <c r="K97" i="37" s="1"/>
  <c r="L123" i="37"/>
  <c r="M123" i="37" s="1"/>
  <c r="I90" i="37"/>
  <c r="N111" i="37"/>
  <c r="J111" i="37" s="1"/>
  <c r="K111" i="37" s="1"/>
  <c r="N93" i="37"/>
  <c r="J93" i="37" s="1"/>
  <c r="K93" i="37" s="1"/>
  <c r="I113" i="37"/>
  <c r="R115" i="37"/>
  <c r="E126" i="37"/>
  <c r="G78" i="16" s="1"/>
  <c r="K78" i="16" s="1"/>
  <c r="N115" i="37"/>
  <c r="J115" i="37" s="1"/>
  <c r="K115" i="37" s="1"/>
  <c r="R53" i="37"/>
  <c r="R54" i="37" s="1"/>
  <c r="L97" i="37"/>
  <c r="M97" i="37" s="1"/>
  <c r="L115" i="37"/>
  <c r="M115" i="37" s="1"/>
  <c r="L89" i="37"/>
  <c r="M89" i="37" s="1"/>
  <c r="L107" i="37"/>
  <c r="M107" i="37" s="1"/>
  <c r="I97" i="37"/>
  <c r="I93" i="37"/>
  <c r="I91" i="37"/>
  <c r="O91" i="37" s="1"/>
  <c r="I87" i="37"/>
  <c r="P87" i="37" s="1"/>
  <c r="I83" i="37"/>
  <c r="P83" i="37" s="1"/>
  <c r="Q123" i="37"/>
  <c r="I119" i="37"/>
  <c r="Q115" i="37"/>
  <c r="Q107" i="37"/>
  <c r="G89" i="16"/>
  <c r="K89" i="16" s="1"/>
  <c r="J37" i="37"/>
  <c r="J38" i="37" s="1"/>
  <c r="I37" i="37"/>
  <c r="I38" i="37" s="1"/>
  <c r="L37" i="37"/>
  <c r="L38" i="37" s="1"/>
  <c r="G38" i="16"/>
  <c r="K38" i="16" s="1"/>
  <c r="Q121" i="37"/>
  <c r="I107" i="37"/>
  <c r="L121" i="37"/>
  <c r="M121" i="37" s="1"/>
  <c r="I89" i="37"/>
  <c r="N85" i="37"/>
  <c r="J85" i="37" s="1"/>
  <c r="K85" i="37" s="1"/>
  <c r="N79" i="37"/>
  <c r="AD149" i="37"/>
  <c r="L95" i="37"/>
  <c r="M95" i="37" s="1"/>
  <c r="Q87" i="37"/>
  <c r="L79" i="37"/>
  <c r="M79" i="37" s="1"/>
  <c r="N113" i="37"/>
  <c r="L125" i="37"/>
  <c r="M125" i="37" s="1"/>
  <c r="L116" i="37"/>
  <c r="M116" i="37" s="1"/>
  <c r="G48" i="16"/>
  <c r="K48" i="16" s="1"/>
  <c r="R89" i="37"/>
  <c r="R111" i="37"/>
  <c r="I95" i="37"/>
  <c r="R95" i="37"/>
  <c r="Q83" i="37"/>
  <c r="R113" i="37"/>
  <c r="Q116" i="37"/>
  <c r="L113" i="37"/>
  <c r="M113" i="37" s="1"/>
  <c r="Q119" i="37"/>
  <c r="Q113" i="37"/>
  <c r="I85" i="37"/>
  <c r="Q79" i="37"/>
  <c r="N121" i="37"/>
  <c r="J121" i="37" s="1"/>
  <c r="K121" i="37" s="1"/>
  <c r="L85" i="37"/>
  <c r="M85" i="37" s="1"/>
  <c r="N125" i="37"/>
  <c r="J125" i="37" s="1"/>
  <c r="K125" i="37" s="1"/>
  <c r="I125" i="37"/>
  <c r="Q111" i="37"/>
  <c r="R125" i="37"/>
  <c r="L111" i="37"/>
  <c r="M111" i="37" s="1"/>
  <c r="Q81" i="37"/>
  <c r="B115" i="37"/>
  <c r="B121" i="37"/>
  <c r="K20" i="40"/>
  <c r="K21" i="40" s="1"/>
  <c r="F14" i="30"/>
  <c r="H27" i="30" s="1"/>
  <c r="H30" i="30" s="1"/>
  <c r="H31" i="30" s="1"/>
  <c r="AB69" i="37"/>
  <c r="V91" i="37"/>
  <c r="V85" i="37"/>
  <c r="V83" i="37"/>
  <c r="V79" i="37"/>
  <c r="V97" i="37"/>
  <c r="V96" i="37"/>
  <c r="V93" i="37"/>
  <c r="V95" i="37"/>
  <c r="V92" i="37"/>
  <c r="V88" i="37"/>
  <c r="X107" i="37"/>
  <c r="X117" i="37"/>
  <c r="X116" i="37"/>
  <c r="AA116" i="37"/>
  <c r="AA117" i="37"/>
  <c r="AA118" i="37"/>
  <c r="AA119" i="37"/>
  <c r="AA120" i="37"/>
  <c r="AA123" i="37"/>
  <c r="X106" i="37"/>
  <c r="X122" i="37"/>
  <c r="X121" i="37"/>
  <c r="X110" i="37"/>
  <c r="AA124" i="37"/>
  <c r="AA113" i="37"/>
  <c r="AA114" i="37"/>
  <c r="X120" i="37"/>
  <c r="X115" i="37"/>
  <c r="X123" i="37"/>
  <c r="W110" i="37"/>
  <c r="X125" i="37"/>
  <c r="X119" i="37"/>
  <c r="AA106" i="37"/>
  <c r="AA125" i="37"/>
  <c r="AA109" i="37"/>
  <c r="AA110" i="37"/>
  <c r="AA115" i="37"/>
  <c r="X118" i="37"/>
  <c r="AA107" i="37"/>
  <c r="V69" i="37"/>
  <c r="K91" i="37"/>
  <c r="L69" i="37"/>
  <c r="I69" i="37"/>
  <c r="I70" i="37" s="1"/>
  <c r="G37" i="16"/>
  <c r="K37" i="16" s="1"/>
  <c r="N69" i="37"/>
  <c r="J69" i="37" s="1"/>
  <c r="AB94" i="37"/>
  <c r="AB79" i="37"/>
  <c r="C38" i="34"/>
  <c r="C42" i="34"/>
  <c r="H41" i="34"/>
  <c r="H42" i="34" s="1"/>
  <c r="Q89" i="37"/>
  <c r="N89" i="37"/>
  <c r="R116" i="37"/>
  <c r="I116" i="37"/>
  <c r="V94" i="37"/>
  <c r="V87" i="37"/>
  <c r="V80" i="37"/>
  <c r="V86" i="37"/>
  <c r="V82" i="37"/>
  <c r="V84" i="37"/>
  <c r="H44" i="34"/>
  <c r="H45" i="34" s="1"/>
  <c r="G58" i="16"/>
  <c r="K58" i="16" s="1"/>
  <c r="AB80" i="37"/>
  <c r="L82" i="37"/>
  <c r="M82" i="37" s="1"/>
  <c r="E98" i="37"/>
  <c r="G68" i="16" s="1"/>
  <c r="K68" i="16" s="1"/>
  <c r="N86" i="37"/>
  <c r="J86" i="37" s="1"/>
  <c r="K86" i="37" s="1"/>
  <c r="R86" i="37"/>
  <c r="I86" i="37"/>
  <c r="L86" i="37"/>
  <c r="M86" i="37" s="1"/>
  <c r="N90" i="37"/>
  <c r="R90" i="37"/>
  <c r="Q90" i="37"/>
  <c r="R96" i="37"/>
  <c r="I96" i="37"/>
  <c r="N114" i="37"/>
  <c r="R114" i="37"/>
  <c r="Q122" i="37"/>
  <c r="R122" i="37"/>
  <c r="N122" i="37"/>
  <c r="Y53" i="37"/>
  <c r="AB53" i="37"/>
  <c r="AB88" i="37"/>
  <c r="AB96" i="37"/>
  <c r="AB83" i="37"/>
  <c r="AB82" i="37"/>
  <c r="AB78" i="37"/>
  <c r="AB84" i="37"/>
  <c r="AB85" i="37"/>
  <c r="AB87" i="37"/>
  <c r="AB86" i="37"/>
  <c r="AB81" i="37"/>
  <c r="AB92" i="37"/>
  <c r="AB93" i="37"/>
  <c r="AA21" i="37"/>
  <c r="AB97" i="37"/>
  <c r="AB95" i="37"/>
  <c r="B120" i="37"/>
  <c r="G14" i="29"/>
  <c r="AB14" i="41"/>
  <c r="AB21" i="41"/>
  <c r="AB25" i="41"/>
  <c r="AB29" i="41"/>
  <c r="AB15" i="41"/>
  <c r="AB22" i="41"/>
  <c r="AB26" i="41"/>
  <c r="AB16" i="41"/>
  <c r="AB20" i="41"/>
  <c r="T87" i="37"/>
  <c r="T88" i="37"/>
  <c r="I109" i="37"/>
  <c r="Q109" i="37"/>
  <c r="B124" i="37"/>
  <c r="G91" i="16"/>
  <c r="K91" i="16" s="1"/>
  <c r="X124" i="37"/>
  <c r="X113" i="37"/>
  <c r="C31" i="41"/>
  <c r="AE20" i="41"/>
  <c r="AE30" i="41"/>
  <c r="AE16" i="41"/>
  <c r="AE26" i="41"/>
  <c r="AE22" i="41"/>
  <c r="H18" i="35"/>
  <c r="Q124" i="37"/>
  <c r="E36" i="43"/>
  <c r="G42" i="43" s="1"/>
  <c r="D47" i="33"/>
  <c r="Q84" i="37"/>
  <c r="L88" i="37"/>
  <c r="M88" i="37" s="1"/>
  <c r="F14" i="36"/>
  <c r="H14" i="36" s="1"/>
  <c r="H15" i="36" s="1"/>
  <c r="AG29" i="41"/>
  <c r="W26" i="41"/>
  <c r="W15" i="41"/>
  <c r="W25" i="41"/>
  <c r="AG20" i="41"/>
  <c r="AH23" i="39"/>
  <c r="AG26" i="41"/>
  <c r="W16" i="41"/>
  <c r="W30" i="41"/>
  <c r="W27" i="41"/>
  <c r="W17" i="41"/>
  <c r="W18" i="41"/>
  <c r="AG30" i="41"/>
  <c r="AG23" i="41"/>
  <c r="AG28" i="41"/>
  <c r="AG18" i="41"/>
  <c r="AG15" i="41"/>
  <c r="W21" i="41"/>
  <c r="W20" i="41"/>
  <c r="W29" i="41"/>
  <c r="W19" i="41"/>
  <c r="AG19" i="41"/>
  <c r="AG25" i="41"/>
  <c r="AF23" i="39"/>
  <c r="AG14" i="41"/>
  <c r="AG21" i="41"/>
  <c r="U21" i="37"/>
  <c r="AA53" i="37"/>
  <c r="K93" i="16"/>
  <c r="B122" i="37"/>
  <c r="H26" i="35" l="1"/>
  <c r="H27" i="35" s="1"/>
  <c r="H28" i="35" s="1"/>
  <c r="I110" i="16"/>
  <c r="J110" i="16" s="1"/>
  <c r="AC22" i="39"/>
  <c r="I18" i="38" s="1"/>
  <c r="W22" i="39"/>
  <c r="AC21" i="39"/>
  <c r="I17" i="38" s="1"/>
  <c r="W21" i="39"/>
  <c r="W20" i="39"/>
  <c r="AC20" i="39"/>
  <c r="I16" i="38" s="1"/>
  <c r="W23" i="39"/>
  <c r="H9" i="38" s="1"/>
  <c r="H29" i="38" s="1"/>
  <c r="H30" i="41"/>
  <c r="N16" i="41"/>
  <c r="S16" i="41"/>
  <c r="P22" i="41"/>
  <c r="Q22" i="41" s="1"/>
  <c r="I22" i="41"/>
  <c r="G29" i="29"/>
  <c r="G30" i="29" s="1"/>
  <c r="G31" i="29" s="1"/>
  <c r="M69" i="37"/>
  <c r="M70" i="37" s="1"/>
  <c r="G63" i="16" s="1"/>
  <c r="K63" i="16" s="1"/>
  <c r="L70" i="37"/>
  <c r="R70" i="37"/>
  <c r="G67" i="16" s="1"/>
  <c r="K67" i="16" s="1"/>
  <c r="M53" i="37"/>
  <c r="M54" i="37" s="1"/>
  <c r="L54" i="37"/>
  <c r="G52" i="16" s="1"/>
  <c r="K52" i="16" s="1"/>
  <c r="K53" i="37"/>
  <c r="K54" i="37" s="1"/>
  <c r="J54" i="37"/>
  <c r="Q54" i="37"/>
  <c r="G56" i="16" s="1"/>
  <c r="K56" i="16" s="1"/>
  <c r="K69" i="37"/>
  <c r="K70" i="37" s="1"/>
  <c r="J70" i="37"/>
  <c r="P21" i="37"/>
  <c r="P22" i="37" s="1"/>
  <c r="G35" i="16" s="1"/>
  <c r="K35" i="16" s="1"/>
  <c r="I22" i="37"/>
  <c r="G29" i="16" s="1"/>
  <c r="K29" i="16" s="1"/>
  <c r="H15" i="41"/>
  <c r="H23" i="39"/>
  <c r="G24" i="16"/>
  <c r="G25" i="16" s="1"/>
  <c r="AC15" i="39"/>
  <c r="I11" i="38" s="1"/>
  <c r="AD67" i="37"/>
  <c r="AD64" i="37"/>
  <c r="W17" i="39"/>
  <c r="AC19" i="39"/>
  <c r="I15" i="38" s="1"/>
  <c r="AD14" i="37"/>
  <c r="AD50" i="37"/>
  <c r="AD36" i="37"/>
  <c r="AD33" i="37"/>
  <c r="AD18" i="37"/>
  <c r="K30" i="41"/>
  <c r="M30" i="41" s="1"/>
  <c r="W13" i="39"/>
  <c r="W19" i="39"/>
  <c r="AD63" i="37"/>
  <c r="AD62" i="37"/>
  <c r="AC18" i="39"/>
  <c r="I14" i="38" s="1"/>
  <c r="AC14" i="39"/>
  <c r="I10" i="38" s="1"/>
  <c r="AD47" i="37"/>
  <c r="AD48" i="37"/>
  <c r="AD30" i="37"/>
  <c r="AD31" i="37"/>
  <c r="AD19" i="37"/>
  <c r="AD16" i="37"/>
  <c r="I19" i="41"/>
  <c r="P117" i="37"/>
  <c r="O117" i="37"/>
  <c r="AD117" i="37" s="1"/>
  <c r="W18" i="39"/>
  <c r="W15" i="39"/>
  <c r="AD68" i="37"/>
  <c r="AC17" i="39"/>
  <c r="I13" i="38" s="1"/>
  <c r="AC13" i="39"/>
  <c r="I9" i="38" s="1"/>
  <c r="AD49" i="37"/>
  <c r="AD46" i="37"/>
  <c r="AD32" i="37"/>
  <c r="AD17" i="37"/>
  <c r="AD51" i="37"/>
  <c r="H47" i="34"/>
  <c r="W14" i="39"/>
  <c r="W16" i="39"/>
  <c r="AD65" i="37"/>
  <c r="AD66" i="37"/>
  <c r="AC16" i="39"/>
  <c r="I12" i="38" s="1"/>
  <c r="AD52" i="37"/>
  <c r="AD34" i="37"/>
  <c r="AD35" i="37"/>
  <c r="AD20" i="37"/>
  <c r="AD15" i="37"/>
  <c r="G43" i="43"/>
  <c r="I122" i="16" s="1"/>
  <c r="J122" i="16" s="1"/>
  <c r="N19" i="41"/>
  <c r="M19" i="41"/>
  <c r="R30" i="41"/>
  <c r="Q30" i="41"/>
  <c r="S30" i="41"/>
  <c r="P26" i="41"/>
  <c r="S26" i="41" s="1"/>
  <c r="P19" i="41"/>
  <c r="S19" i="41" s="1"/>
  <c r="O81" i="37"/>
  <c r="AD81" i="37" s="1"/>
  <c r="O106" i="37"/>
  <c r="P106" i="37"/>
  <c r="O124" i="37"/>
  <c r="AD124" i="37" s="1"/>
  <c r="P78" i="37"/>
  <c r="L19" i="41"/>
  <c r="C47" i="34"/>
  <c r="H25" i="36"/>
  <c r="I116" i="16" s="1"/>
  <c r="J116" i="16" s="1"/>
  <c r="R15" i="41"/>
  <c r="S15" i="41"/>
  <c r="N15" i="41"/>
  <c r="P27" i="41"/>
  <c r="Q27" i="41" s="1"/>
  <c r="H27" i="41"/>
  <c r="G44" i="24"/>
  <c r="G45" i="24" s="1"/>
  <c r="G29" i="44"/>
  <c r="G30" i="44" s="1"/>
  <c r="P69" i="37"/>
  <c r="P70" i="37" s="1"/>
  <c r="G39" i="16"/>
  <c r="K39" i="16" s="1"/>
  <c r="P37" i="37"/>
  <c r="P38" i="37" s="1"/>
  <c r="K37" i="37"/>
  <c r="G40" i="16"/>
  <c r="K40" i="16" s="1"/>
  <c r="M37" i="37"/>
  <c r="G42" i="16"/>
  <c r="K42" i="16" s="1"/>
  <c r="P92" i="37"/>
  <c r="AD92" i="37" s="1"/>
  <c r="P110" i="37"/>
  <c r="O53" i="37"/>
  <c r="O54" i="37" s="1"/>
  <c r="K25" i="41"/>
  <c r="P25" i="41"/>
  <c r="K29" i="41"/>
  <c r="P17" i="41"/>
  <c r="K17" i="41"/>
  <c r="P53" i="37"/>
  <c r="P54" i="37" s="1"/>
  <c r="O118" i="37"/>
  <c r="AD118" i="37" s="1"/>
  <c r="O80" i="37"/>
  <c r="P108" i="37"/>
  <c r="O79" i="37"/>
  <c r="O110" i="37"/>
  <c r="P122" i="37"/>
  <c r="P97" i="37"/>
  <c r="O21" i="37"/>
  <c r="O97" i="37"/>
  <c r="P115" i="37"/>
  <c r="P120" i="37"/>
  <c r="P84" i="37"/>
  <c r="AD84" i="37" s="1"/>
  <c r="O123" i="37"/>
  <c r="AD123" i="37" s="1"/>
  <c r="O112" i="37"/>
  <c r="J79" i="37"/>
  <c r="K79" i="37" s="1"/>
  <c r="O115" i="37"/>
  <c r="O87" i="37"/>
  <c r="AD87" i="37" s="1"/>
  <c r="O78" i="37"/>
  <c r="O111" i="37"/>
  <c r="O88" i="37"/>
  <c r="P88" i="37"/>
  <c r="O83" i="37"/>
  <c r="AD83" i="37" s="1"/>
  <c r="O108" i="37"/>
  <c r="P107" i="37"/>
  <c r="P111" i="37"/>
  <c r="R98" i="37"/>
  <c r="G77" i="16" s="1"/>
  <c r="K77" i="16" s="1"/>
  <c r="P82" i="37"/>
  <c r="AD82" i="37" s="1"/>
  <c r="P79" i="37"/>
  <c r="P119" i="37"/>
  <c r="P80" i="37"/>
  <c r="O120" i="37"/>
  <c r="P94" i="37"/>
  <c r="O94" i="37"/>
  <c r="I126" i="37"/>
  <c r="G79" i="16" s="1"/>
  <c r="K79" i="16" s="1"/>
  <c r="L126" i="37"/>
  <c r="G82" i="16" s="1"/>
  <c r="K82" i="16" s="1"/>
  <c r="G53" i="16"/>
  <c r="K53" i="16" s="1"/>
  <c r="M126" i="37"/>
  <c r="G83" i="16" s="1"/>
  <c r="K83" i="16" s="1"/>
  <c r="P91" i="37"/>
  <c r="AD91" i="37" s="1"/>
  <c r="O113" i="37"/>
  <c r="P112" i="37"/>
  <c r="AD112" i="37" s="1"/>
  <c r="O119" i="37"/>
  <c r="O93" i="37"/>
  <c r="P93" i="37"/>
  <c r="O107" i="37"/>
  <c r="O37" i="37"/>
  <c r="O38" i="37" s="1"/>
  <c r="G47" i="16"/>
  <c r="K47" i="16" s="1"/>
  <c r="R126" i="37"/>
  <c r="G87" i="16" s="1"/>
  <c r="K87" i="16" s="1"/>
  <c r="O121" i="37"/>
  <c r="Q126" i="37"/>
  <c r="G86" i="16" s="1"/>
  <c r="K86" i="16" s="1"/>
  <c r="O125" i="37"/>
  <c r="P125" i="37"/>
  <c r="G66" i="16"/>
  <c r="K66" i="16" s="1"/>
  <c r="O85" i="37"/>
  <c r="P85" i="37"/>
  <c r="O95" i="37"/>
  <c r="P95" i="37"/>
  <c r="J113" i="37"/>
  <c r="K113" i="37" s="1"/>
  <c r="P113" i="37"/>
  <c r="M98" i="37"/>
  <c r="G73" i="16" s="1"/>
  <c r="K73" i="16" s="1"/>
  <c r="G57" i="16"/>
  <c r="K57" i="16" s="1"/>
  <c r="P121" i="37"/>
  <c r="E31" i="41"/>
  <c r="G100" i="16" s="1"/>
  <c r="K100" i="16" s="1"/>
  <c r="G22" i="16"/>
  <c r="K22" i="16" s="1"/>
  <c r="L27" i="41"/>
  <c r="M27" i="41"/>
  <c r="K23" i="41"/>
  <c r="P23" i="41"/>
  <c r="P18" i="41"/>
  <c r="K18" i="41"/>
  <c r="G116" i="16"/>
  <c r="G125" i="16"/>
  <c r="K125" i="16" s="1"/>
  <c r="K126" i="16" s="1"/>
  <c r="K20" i="41"/>
  <c r="P20" i="41"/>
  <c r="H16" i="41"/>
  <c r="I16" i="41"/>
  <c r="I25" i="41"/>
  <c r="H25" i="41"/>
  <c r="P24" i="41"/>
  <c r="K24" i="41"/>
  <c r="P21" i="41"/>
  <c r="K21" i="41"/>
  <c r="I15" i="16"/>
  <c r="J15" i="16" s="1"/>
  <c r="H32" i="30"/>
  <c r="P116" i="37"/>
  <c r="O116" i="37"/>
  <c r="M22" i="41"/>
  <c r="L22" i="41"/>
  <c r="N22" i="41"/>
  <c r="G117" i="16"/>
  <c r="K117" i="16" s="1"/>
  <c r="L98" i="37"/>
  <c r="G72" i="16" s="1"/>
  <c r="K72" i="16" s="1"/>
  <c r="P86" i="37"/>
  <c r="O86" i="37"/>
  <c r="G49" i="16"/>
  <c r="K49" i="16" s="1"/>
  <c r="O69" i="37"/>
  <c r="O70" i="37" s="1"/>
  <c r="G59" i="16"/>
  <c r="K59" i="16" s="1"/>
  <c r="G18" i="16"/>
  <c r="K18" i="16" s="1"/>
  <c r="O109" i="37"/>
  <c r="P109" i="37"/>
  <c r="L26" i="41"/>
  <c r="N26" i="41"/>
  <c r="M26" i="41"/>
  <c r="J122" i="37"/>
  <c r="O122" i="37"/>
  <c r="J114" i="37"/>
  <c r="K114" i="37" s="1"/>
  <c r="P114" i="37"/>
  <c r="O114" i="37"/>
  <c r="J89" i="37"/>
  <c r="P89" i="37"/>
  <c r="O89" i="37"/>
  <c r="I98" i="37"/>
  <c r="G69" i="16" s="1"/>
  <c r="K69" i="16" s="1"/>
  <c r="Q98" i="37"/>
  <c r="G76" i="16" s="1"/>
  <c r="K76" i="16" s="1"/>
  <c r="K28" i="41"/>
  <c r="P28" i="41"/>
  <c r="R29" i="41"/>
  <c r="S29" i="41"/>
  <c r="Q29" i="41"/>
  <c r="P96" i="37"/>
  <c r="O96" i="37"/>
  <c r="J90" i="37"/>
  <c r="K90" i="37" s="1"/>
  <c r="O90" i="37"/>
  <c r="P90" i="37"/>
  <c r="G62" i="16"/>
  <c r="K62" i="16" s="1"/>
  <c r="K108" i="37"/>
  <c r="G33" i="16"/>
  <c r="K33" i="16" s="1"/>
  <c r="G10" i="38" l="1"/>
  <c r="G11" i="38"/>
  <c r="G9" i="38"/>
  <c r="L16" i="41"/>
  <c r="M16" i="41"/>
  <c r="Q16" i="41"/>
  <c r="R16" i="41"/>
  <c r="AD21" i="41"/>
  <c r="AD25" i="41"/>
  <c r="AD29" i="41"/>
  <c r="AD24" i="41"/>
  <c r="AD26" i="41"/>
  <c r="AD30" i="41"/>
  <c r="AD17" i="41"/>
  <c r="AD14" i="41"/>
  <c r="AD27" i="41"/>
  <c r="AD16" i="41"/>
  <c r="AD19" i="41"/>
  <c r="AD20" i="41"/>
  <c r="AD23" i="41"/>
  <c r="AD18" i="41"/>
  <c r="AD22" i="41"/>
  <c r="AD28" i="41"/>
  <c r="AD15" i="41"/>
  <c r="AI16" i="39"/>
  <c r="AI20" i="39"/>
  <c r="AI13" i="39"/>
  <c r="AI23" i="39"/>
  <c r="AI17" i="39"/>
  <c r="AI21" i="39"/>
  <c r="AI19" i="39"/>
  <c r="AI14" i="39"/>
  <c r="AI18" i="39"/>
  <c r="AI22" i="39"/>
  <c r="AI15" i="39"/>
  <c r="AD106" i="37"/>
  <c r="K15" i="16"/>
  <c r="K16" i="16" s="1"/>
  <c r="O9" i="38" s="1"/>
  <c r="I30" i="41"/>
  <c r="AC23" i="39"/>
  <c r="I19" i="38" s="1"/>
  <c r="I29" i="38" s="1"/>
  <c r="AE23" i="39"/>
  <c r="AE22" i="39"/>
  <c r="AE20" i="39"/>
  <c r="AE21" i="39"/>
  <c r="K122" i="16"/>
  <c r="S22" i="41"/>
  <c r="R22" i="41"/>
  <c r="H22" i="41"/>
  <c r="R19" i="41"/>
  <c r="H19" i="41"/>
  <c r="S27" i="41"/>
  <c r="I15" i="41"/>
  <c r="N30" i="41"/>
  <c r="L30" i="41"/>
  <c r="I27" i="41"/>
  <c r="R27" i="41"/>
  <c r="G44" i="43"/>
  <c r="G45" i="43" s="1"/>
  <c r="J8" i="43"/>
  <c r="J8" i="24"/>
  <c r="I118" i="16"/>
  <c r="J118" i="16" s="1"/>
  <c r="I106" i="16"/>
  <c r="J106" i="16" s="1"/>
  <c r="Z28" i="41" s="1"/>
  <c r="K38" i="37"/>
  <c r="G41" i="16" s="1"/>
  <c r="K41" i="16" s="1"/>
  <c r="AD21" i="37"/>
  <c r="O22" i="37"/>
  <c r="G34" i="16" s="1"/>
  <c r="K34" i="16" s="1"/>
  <c r="M38" i="37"/>
  <c r="G43" i="16" s="1"/>
  <c r="K43" i="16" s="1"/>
  <c r="J24" i="39"/>
  <c r="G19" i="16" s="1"/>
  <c r="K19" i="16" s="1"/>
  <c r="K20" i="16" s="1"/>
  <c r="D14" i="26" s="1"/>
  <c r="H24" i="39"/>
  <c r="G23" i="16" s="1"/>
  <c r="K23" i="16" s="1"/>
  <c r="D26" i="26"/>
  <c r="H26" i="26" s="1"/>
  <c r="R26" i="41"/>
  <c r="AE13" i="39"/>
  <c r="AE14" i="39"/>
  <c r="AE15" i="39"/>
  <c r="AE16" i="39"/>
  <c r="AE17" i="39"/>
  <c r="AE18" i="39"/>
  <c r="AE19" i="39"/>
  <c r="Q26" i="41"/>
  <c r="Q19" i="41"/>
  <c r="H26" i="41"/>
  <c r="I26" i="41"/>
  <c r="AD78" i="37"/>
  <c r="AD79" i="37"/>
  <c r="AD110" i="37"/>
  <c r="AD53" i="37"/>
  <c r="AD80" i="37"/>
  <c r="H26" i="36"/>
  <c r="H27" i="36" s="1"/>
  <c r="M15" i="41"/>
  <c r="L15" i="41"/>
  <c r="G46" i="24"/>
  <c r="AD37" i="37"/>
  <c r="AD88" i="37"/>
  <c r="L29" i="41"/>
  <c r="N29" i="41"/>
  <c r="M29" i="41"/>
  <c r="Q14" i="41"/>
  <c r="S14" i="41"/>
  <c r="H29" i="41"/>
  <c r="I29" i="41"/>
  <c r="L17" i="41"/>
  <c r="M17" i="41"/>
  <c r="N17" i="41"/>
  <c r="H14" i="41"/>
  <c r="I14" i="41"/>
  <c r="R25" i="41"/>
  <c r="Q25" i="41"/>
  <c r="S25" i="41"/>
  <c r="Q17" i="41"/>
  <c r="S17" i="41"/>
  <c r="R17" i="41"/>
  <c r="H17" i="41"/>
  <c r="I17" i="41"/>
  <c r="N14" i="41"/>
  <c r="M14" i="41"/>
  <c r="M25" i="41"/>
  <c r="N25" i="41"/>
  <c r="L25" i="41"/>
  <c r="AD120" i="37"/>
  <c r="AD97" i="37"/>
  <c r="AD95" i="37"/>
  <c r="AD115" i="37"/>
  <c r="AD94" i="37"/>
  <c r="AD86" i="37"/>
  <c r="AD111" i="37"/>
  <c r="AD108" i="37"/>
  <c r="AD119" i="37"/>
  <c r="P126" i="37"/>
  <c r="G85" i="16" s="1"/>
  <c r="K85" i="16" s="1"/>
  <c r="AD107" i="37"/>
  <c r="G60" i="16"/>
  <c r="K60" i="16" s="1"/>
  <c r="G64" i="16"/>
  <c r="K64" i="16" s="1"/>
  <c r="AD93" i="37"/>
  <c r="AD109" i="37"/>
  <c r="AD85" i="37"/>
  <c r="AD125" i="37"/>
  <c r="J98" i="37"/>
  <c r="G70" i="16" s="1"/>
  <c r="K70" i="16" s="1"/>
  <c r="AD114" i="37"/>
  <c r="AD121" i="37"/>
  <c r="G45" i="16"/>
  <c r="K45" i="16" s="1"/>
  <c r="P98" i="37"/>
  <c r="G75" i="16" s="1"/>
  <c r="K75" i="16" s="1"/>
  <c r="AD116" i="37"/>
  <c r="AD113" i="37"/>
  <c r="G51" i="16"/>
  <c r="K51" i="16" s="1"/>
  <c r="G50" i="16"/>
  <c r="K50" i="16" s="1"/>
  <c r="H21" i="41"/>
  <c r="I21" i="41"/>
  <c r="R24" i="41"/>
  <c r="S24" i="41"/>
  <c r="Q24" i="41"/>
  <c r="S18" i="41"/>
  <c r="Q18" i="41"/>
  <c r="R18" i="41"/>
  <c r="Q20" i="41"/>
  <c r="R20" i="41"/>
  <c r="S20" i="41"/>
  <c r="S23" i="41"/>
  <c r="R23" i="41"/>
  <c r="Q23" i="41"/>
  <c r="M21" i="41"/>
  <c r="L21" i="41"/>
  <c r="N21" i="41"/>
  <c r="N24" i="41"/>
  <c r="L24" i="41"/>
  <c r="M24" i="41"/>
  <c r="I20" i="41"/>
  <c r="H20" i="41"/>
  <c r="L18" i="41"/>
  <c r="N18" i="41"/>
  <c r="M18" i="41"/>
  <c r="H23" i="41"/>
  <c r="I23" i="41"/>
  <c r="Q21" i="41"/>
  <c r="S21" i="41"/>
  <c r="R21" i="41"/>
  <c r="H24" i="41"/>
  <c r="I24" i="41"/>
  <c r="L20" i="41"/>
  <c r="M20" i="41"/>
  <c r="N20" i="41"/>
  <c r="H18" i="41"/>
  <c r="I18" i="41"/>
  <c r="M23" i="41"/>
  <c r="N23" i="41"/>
  <c r="L23" i="41"/>
  <c r="K122" i="37"/>
  <c r="K126" i="37" s="1"/>
  <c r="G81" i="16" s="1"/>
  <c r="K81" i="16" s="1"/>
  <c r="G55" i="16"/>
  <c r="K55" i="16" s="1"/>
  <c r="AD90" i="37"/>
  <c r="I28" i="41"/>
  <c r="H28" i="41"/>
  <c r="G31" i="41"/>
  <c r="G101" i="16" s="1"/>
  <c r="K101" i="16" s="1"/>
  <c r="AD69" i="37"/>
  <c r="O98" i="37"/>
  <c r="G74" i="16" s="1"/>
  <c r="K74" i="16" s="1"/>
  <c r="Q28" i="41"/>
  <c r="R28" i="41"/>
  <c r="S28" i="41"/>
  <c r="P31" i="41"/>
  <c r="G110" i="16" s="1"/>
  <c r="K110" i="16" s="1"/>
  <c r="K116" i="16"/>
  <c r="G65" i="16"/>
  <c r="K65" i="16" s="1"/>
  <c r="M28" i="41"/>
  <c r="L28" i="41"/>
  <c r="N28" i="41"/>
  <c r="K24" i="16"/>
  <c r="K25" i="16"/>
  <c r="K31" i="41"/>
  <c r="G106" i="16" s="1"/>
  <c r="G30" i="16"/>
  <c r="K30" i="16" s="1"/>
  <c r="O126" i="37"/>
  <c r="G84" i="16" s="1"/>
  <c r="K84" i="16" s="1"/>
  <c r="G54" i="16"/>
  <c r="K54" i="16" s="1"/>
  <c r="G61" i="16"/>
  <c r="K61" i="16" s="1"/>
  <c r="J126" i="37"/>
  <c r="G80" i="16" s="1"/>
  <c r="K80" i="16" s="1"/>
  <c r="G44" i="16"/>
  <c r="K44" i="16" s="1"/>
  <c r="AD96" i="37"/>
  <c r="K89" i="37"/>
  <c r="AD89" i="37" s="1"/>
  <c r="G121" i="16"/>
  <c r="K121" i="16" s="1"/>
  <c r="G120" i="16"/>
  <c r="K120" i="16" s="1"/>
  <c r="G29" i="38" l="1"/>
  <c r="D12" i="26"/>
  <c r="F12" i="26" s="1"/>
  <c r="AJ21" i="39"/>
  <c r="AJ20" i="39"/>
  <c r="AJ22" i="39"/>
  <c r="AJ23" i="39"/>
  <c r="AJ19" i="39"/>
  <c r="J26" i="26"/>
  <c r="Z30" i="41"/>
  <c r="AH30" i="41" s="1"/>
  <c r="K106" i="16"/>
  <c r="AJ15" i="39"/>
  <c r="K11" i="38" s="1"/>
  <c r="AJ18" i="39"/>
  <c r="Z16" i="41"/>
  <c r="AH16" i="41" s="1"/>
  <c r="J11" i="38" s="1"/>
  <c r="Z20" i="41"/>
  <c r="AH20" i="41" s="1"/>
  <c r="Z23" i="41"/>
  <c r="AH23" i="41" s="1"/>
  <c r="Z15" i="41"/>
  <c r="AH15" i="41" s="1"/>
  <c r="J10" i="38" s="1"/>
  <c r="Z18" i="41"/>
  <c r="AH18" i="41" s="1"/>
  <c r="Z21" i="41"/>
  <c r="AH21" i="41" s="1"/>
  <c r="Z25" i="41"/>
  <c r="AH25" i="41" s="1"/>
  <c r="Z19" i="41"/>
  <c r="AH19" i="41" s="1"/>
  <c r="Z17" i="41"/>
  <c r="AH17" i="41" s="1"/>
  <c r="Z14" i="41"/>
  <c r="AH14" i="41" s="1"/>
  <c r="J9" i="38" s="1"/>
  <c r="Z29" i="41"/>
  <c r="AH29" i="41" s="1"/>
  <c r="Z27" i="41"/>
  <c r="AH27" i="41" s="1"/>
  <c r="Z22" i="41"/>
  <c r="AH22" i="41" s="1"/>
  <c r="Z24" i="41"/>
  <c r="AH24" i="41" s="1"/>
  <c r="Z26" i="41"/>
  <c r="AH26" i="41" s="1"/>
  <c r="AJ14" i="39"/>
  <c r="K10" i="38" s="1"/>
  <c r="AJ13" i="39"/>
  <c r="K9" i="38" s="1"/>
  <c r="L26" i="26"/>
  <c r="F26" i="26"/>
  <c r="AJ17" i="39"/>
  <c r="AJ16" i="39"/>
  <c r="N31" i="41"/>
  <c r="G109" i="16" s="1"/>
  <c r="K109" i="16" s="1"/>
  <c r="S31" i="41"/>
  <c r="G113" i="16" s="1"/>
  <c r="K113" i="16" s="1"/>
  <c r="L31" i="41"/>
  <c r="G107" i="16" s="1"/>
  <c r="K107" i="16" s="1"/>
  <c r="Q31" i="41"/>
  <c r="G111" i="16" s="1"/>
  <c r="K111" i="16" s="1"/>
  <c r="H31" i="41"/>
  <c r="G102" i="16" s="1"/>
  <c r="K102" i="16" s="1"/>
  <c r="R31" i="41"/>
  <c r="G112" i="16" s="1"/>
  <c r="K112" i="16" s="1"/>
  <c r="I31" i="41"/>
  <c r="G103" i="16" s="1"/>
  <c r="K103" i="16" s="1"/>
  <c r="AD122" i="37"/>
  <c r="K123" i="16"/>
  <c r="D24" i="26" s="1"/>
  <c r="F24" i="26" s="1"/>
  <c r="M31" i="41"/>
  <c r="G108" i="16" s="1"/>
  <c r="K108" i="16" s="1"/>
  <c r="AH28" i="41"/>
  <c r="K26" i="16"/>
  <c r="D16" i="26" s="1"/>
  <c r="K98" i="37"/>
  <c r="G71" i="16" s="1"/>
  <c r="K71" i="16" s="1"/>
  <c r="L14" i="26"/>
  <c r="H14" i="26"/>
  <c r="J14" i="26"/>
  <c r="F14" i="26"/>
  <c r="G31" i="16"/>
  <c r="K31" i="16" s="1"/>
  <c r="L9" i="38" l="1"/>
  <c r="J12" i="26"/>
  <c r="L10" i="38"/>
  <c r="L11" i="38"/>
  <c r="J29" i="38"/>
  <c r="K29" i="38"/>
  <c r="H12" i="26"/>
  <c r="L12" i="26"/>
  <c r="K98" i="16"/>
  <c r="K114" i="16"/>
  <c r="D22" i="26" s="1"/>
  <c r="F22" i="26" s="1"/>
  <c r="K104" i="16"/>
  <c r="D20" i="26" s="1"/>
  <c r="H20" i="26" s="1"/>
  <c r="L24" i="26"/>
  <c r="J24" i="26"/>
  <c r="H24" i="26"/>
  <c r="L16" i="26"/>
  <c r="H16" i="26"/>
  <c r="J16" i="26"/>
  <c r="F16" i="26"/>
  <c r="L29" i="38" l="1"/>
  <c r="D18" i="26"/>
  <c r="L18" i="26" s="1"/>
  <c r="K127" i="16"/>
  <c r="J22" i="26"/>
  <c r="H22" i="26"/>
  <c r="L22" i="26"/>
  <c r="J20" i="26"/>
  <c r="L20" i="26"/>
  <c r="F20" i="26"/>
  <c r="F18" i="26" l="1"/>
  <c r="F29" i="26" s="1"/>
  <c r="F30" i="26" s="1"/>
  <c r="J18" i="26"/>
  <c r="J29" i="26" s="1"/>
  <c r="D29" i="26"/>
  <c r="C18" i="26" s="1"/>
  <c r="H18" i="26"/>
  <c r="H29" i="26" s="1"/>
  <c r="L29" i="26"/>
  <c r="C26" i="26" l="1"/>
  <c r="G29" i="26"/>
  <c r="C14" i="26"/>
  <c r="C22" i="26"/>
  <c r="C24" i="26"/>
  <c r="I29" i="26"/>
  <c r="C12" i="26"/>
  <c r="E30" i="26"/>
  <c r="K29" i="26"/>
  <c r="C20" i="26"/>
  <c r="C16" i="26"/>
  <c r="E29" i="26"/>
  <c r="H30" i="26"/>
  <c r="J30" i="26" s="1"/>
  <c r="L30" i="26" s="1"/>
  <c r="I30" i="26" l="1"/>
  <c r="K30" i="26"/>
  <c r="C29" i="26"/>
  <c r="G30" i="26"/>
</calcChain>
</file>

<file path=xl/comments1.xml><?xml version="1.0" encoding="utf-8"?>
<comments xmlns="http://schemas.openxmlformats.org/spreadsheetml/2006/main">
  <authors>
    <author>jeniffer nascimento</author>
  </authors>
  <commentList>
    <comment ref="O9" authorId="0" shapeId="0">
      <text>
        <r>
          <rPr>
            <b/>
            <sz val="9"/>
            <color indexed="81"/>
            <rFont val="Segoe UI"/>
            <family val="2"/>
          </rPr>
          <t>jeniffer nascimento:</t>
        </r>
        <r>
          <rPr>
            <sz val="9"/>
            <color indexed="81"/>
            <rFont val="Segoe UI"/>
            <family val="2"/>
          </rPr>
          <t xml:space="preserve">
ATUALIZAR CONFORME QTDE DE RUAS
</t>
        </r>
      </text>
    </comment>
  </commentList>
</comments>
</file>

<file path=xl/comments2.xml><?xml version="1.0" encoding="utf-8"?>
<comments xmlns="http://schemas.openxmlformats.org/spreadsheetml/2006/main">
  <authors>
    <author>Jeniffer Nascimento</author>
  </authors>
  <commentList>
    <comment ref="E8" authorId="0" shapeId="0">
      <text>
        <r>
          <rPr>
            <b/>
            <sz val="11"/>
            <color indexed="81"/>
            <rFont val="Segoe UI"/>
            <family val="2"/>
          </rPr>
          <t>Jeniffer Nascimento:</t>
        </r>
        <r>
          <rPr>
            <sz val="11"/>
            <color indexed="81"/>
            <rFont val="Segoe UI"/>
            <family val="2"/>
          </rPr>
          <t xml:space="preserve">
Desonerado!</t>
        </r>
      </text>
    </comment>
  </commentList>
</comments>
</file>

<file path=xl/comments3.xml><?xml version="1.0" encoding="utf-8"?>
<comments xmlns="http://schemas.openxmlformats.org/spreadsheetml/2006/main">
  <authors>
    <author>jeniffer nascimento</author>
  </authors>
  <commentList>
    <comment ref="P8" authorId="0" shapeId="0">
      <text>
        <r>
          <rPr>
            <b/>
            <sz val="36"/>
            <color indexed="81"/>
            <rFont val="Segoe UI"/>
            <family val="2"/>
          </rPr>
          <t>jeniffer nascimento:</t>
        </r>
        <r>
          <rPr>
            <sz val="36"/>
            <color indexed="81"/>
            <rFont val="Segoe UI"/>
            <family val="2"/>
          </rPr>
          <t xml:space="preserve">
% vai variar de acordo com a via</t>
        </r>
      </text>
    </comment>
  </commentList>
</comments>
</file>

<file path=xl/comments4.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comments5.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comments6.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comments7.xml><?xml version="1.0" encoding="utf-8"?>
<comments xmlns="http://schemas.openxmlformats.org/spreadsheetml/2006/main">
  <authors>
    <author>Jeniffer Nascimento</author>
  </authors>
  <commentList>
    <comment ref="B6" authorId="0" shapeId="0">
      <text>
        <r>
          <rPr>
            <b/>
            <sz val="9"/>
            <color indexed="81"/>
            <rFont val="Segoe UI"/>
            <family val="2"/>
          </rPr>
          <t>Jeniffer Nascimento:</t>
        </r>
        <r>
          <rPr>
            <sz val="9"/>
            <color indexed="81"/>
            <rFont val="Segoe UI"/>
            <family val="2"/>
          </rPr>
          <t xml:space="preserve">
Não desonerado!</t>
        </r>
      </text>
    </comment>
  </commentList>
</comments>
</file>

<file path=xl/sharedStrings.xml><?xml version="1.0" encoding="utf-8"?>
<sst xmlns="http://schemas.openxmlformats.org/spreadsheetml/2006/main" count="1778" uniqueCount="722">
  <si>
    <t>m³</t>
  </si>
  <si>
    <t>SERVIÇOS PRELIMINARES</t>
  </si>
  <si>
    <t>m²</t>
  </si>
  <si>
    <t>m</t>
  </si>
  <si>
    <t>2.1</t>
  </si>
  <si>
    <t>DISPOSITIVOS DE DRENAGEM PROFUNDA</t>
  </si>
  <si>
    <t>DESCRIÇÃO</t>
  </si>
  <si>
    <t>ITEM</t>
  </si>
  <si>
    <t>2.2</t>
  </si>
  <si>
    <t>D</t>
  </si>
  <si>
    <t>TOTAL DO  ITEM 1:</t>
  </si>
  <si>
    <t>3.1</t>
  </si>
  <si>
    <t>LIMPEZA FINAL</t>
  </si>
  <si>
    <t>DISPOSITIVOS DE DRENAGEM SUPERFICIAL</t>
  </si>
  <si>
    <t>5.1</t>
  </si>
  <si>
    <t>C</t>
  </si>
  <si>
    <t>SERVIÇOS DE TERRAPLENAGEM</t>
  </si>
  <si>
    <t>TOTAL DO ITEM 5:</t>
  </si>
  <si>
    <t>DEPARTAMENTO DE OBRAS</t>
  </si>
  <si>
    <t>PREFEITURA MUNICIPAL DE ANANINDEUA</t>
  </si>
  <si>
    <t>1.1</t>
  </si>
  <si>
    <t>1.2</t>
  </si>
  <si>
    <t>UNIDADE</t>
  </si>
  <si>
    <t>TOTAL</t>
  </si>
  <si>
    <t>PLANILHA ORÇAMENTÁRIA</t>
  </si>
  <si>
    <t>PREÇO UNITÁRIO</t>
  </si>
  <si>
    <t>TOTAL DA OBRA COM BDI:</t>
  </si>
  <si>
    <t>SERVIÇOS DE REVESTIMENTO</t>
  </si>
  <si>
    <t>Ton</t>
  </si>
  <si>
    <t>Ton x Km</t>
  </si>
  <si>
    <t>ton</t>
  </si>
  <si>
    <t>94992</t>
  </si>
  <si>
    <t>SERVIÇOS DE CAIXA PRIMÁRIA</t>
  </si>
  <si>
    <t>4.1</t>
  </si>
  <si>
    <t>Usinagem de concreto betuminoso usinado a quente (CBUQ), CAP 50/70, para capa de rolamento</t>
  </si>
  <si>
    <t>A - Mão-de-obra</t>
  </si>
  <si>
    <t>Item</t>
  </si>
  <si>
    <t>Descriminação</t>
  </si>
  <si>
    <t>Unidade</t>
  </si>
  <si>
    <t>Preço Unitário</t>
  </si>
  <si>
    <t>Custo</t>
  </si>
  <si>
    <t>90781</t>
  </si>
  <si>
    <t>Topógrafo com engargos complementares</t>
  </si>
  <si>
    <t>h</t>
  </si>
  <si>
    <t>88316</t>
  </si>
  <si>
    <t>A - Custo Total Mão-de-obra:</t>
  </si>
  <si>
    <t>B – Equipamentos</t>
  </si>
  <si>
    <t>B - Custo Total de Equipamentos:</t>
  </si>
  <si>
    <t>C – Materiais</t>
  </si>
  <si>
    <t>C - Custo Total de Materiais:</t>
  </si>
  <si>
    <t>Resumo da Composição do Custo Unitário</t>
  </si>
  <si>
    <t>Descrição</t>
  </si>
  <si>
    <t>A</t>
  </si>
  <si>
    <t>Mão de Obra</t>
  </si>
  <si>
    <t>[transportar subtotal A]</t>
  </si>
  <si>
    <t>B</t>
  </si>
  <si>
    <t>Equipamentos</t>
  </si>
  <si>
    <t>[transportar subtotal B]</t>
  </si>
  <si>
    <t>Materiais</t>
  </si>
  <si>
    <t>[transportar subtotal C]</t>
  </si>
  <si>
    <t>A+B+C</t>
  </si>
  <si>
    <t>Subtotal:</t>
  </si>
  <si>
    <t>E</t>
  </si>
  <si>
    <t>DxBDI</t>
  </si>
  <si>
    <t>Preço Global:</t>
  </si>
  <si>
    <t>94287</t>
  </si>
  <si>
    <t>Execução de sarjeta de concreto usinado, moldada in loco em trecho reto, 30 cm base x 10 cm altura. AF_06/2016</t>
  </si>
  <si>
    <t>94263</t>
  </si>
  <si>
    <t xml:space="preserve">Guia (meio-fio) concreto, moldada in loco, em trecho reto com extrusora, 13 cm base x 22 cm altura. AF_06/2016 </t>
  </si>
  <si>
    <t>CÓDIGO</t>
  </si>
  <si>
    <t xml:space="preserve"> DESCRIÇÃO</t>
  </si>
  <si>
    <t>HORISTA</t>
  </si>
  <si>
    <t>MENSALISTA</t>
  </si>
  <si>
    <t>GRUPO A</t>
  </si>
  <si>
    <t>A1</t>
  </si>
  <si>
    <t>INSS</t>
  </si>
  <si>
    <t>A2</t>
  </si>
  <si>
    <t>SESI</t>
  </si>
  <si>
    <t>A3</t>
  </si>
  <si>
    <t>SENAI</t>
  </si>
  <si>
    <t>A4</t>
  </si>
  <si>
    <t>INCEA</t>
  </si>
  <si>
    <t>A5</t>
  </si>
  <si>
    <t>SEBRAE</t>
  </si>
  <si>
    <t>A6</t>
  </si>
  <si>
    <t>Salário Educação</t>
  </si>
  <si>
    <t>A7</t>
  </si>
  <si>
    <t>Seguro Contra Acidentes de Trabalho</t>
  </si>
  <si>
    <t>A8</t>
  </si>
  <si>
    <t>FGTS</t>
  </si>
  <si>
    <t>A9</t>
  </si>
  <si>
    <t>SECONCI</t>
  </si>
  <si>
    <t>Total dos Encargos Sociais Básicos</t>
  </si>
  <si>
    <t>GRUPO B</t>
  </si>
  <si>
    <t>B1</t>
  </si>
  <si>
    <t>Repouso Semanal Remunerado</t>
  </si>
  <si>
    <t>B2</t>
  </si>
  <si>
    <t>Feriados</t>
  </si>
  <si>
    <t>B3</t>
  </si>
  <si>
    <t>Auxílio - Enfremidade</t>
  </si>
  <si>
    <t>B4</t>
  </si>
  <si>
    <t>13º Salário</t>
  </si>
  <si>
    <t>B5</t>
  </si>
  <si>
    <t>Liçença Paternidade</t>
  </si>
  <si>
    <t>B6</t>
  </si>
  <si>
    <t>Faltas Justificadas</t>
  </si>
  <si>
    <t>B7</t>
  </si>
  <si>
    <t>Dias de Chuva</t>
  </si>
  <si>
    <t>B8</t>
  </si>
  <si>
    <t>Auxílio - Acidente de Trabalho</t>
  </si>
  <si>
    <t>B9</t>
  </si>
  <si>
    <t>Férias Gozadas</t>
  </si>
  <si>
    <t>B10</t>
  </si>
  <si>
    <t>Salário Maternidade</t>
  </si>
  <si>
    <t>Total dos Encargos Sociais que recebem incidências de A</t>
  </si>
  <si>
    <t>GRUPO C</t>
  </si>
  <si>
    <t>C1</t>
  </si>
  <si>
    <t>Aviso Prévio Indenizado</t>
  </si>
  <si>
    <t>C2</t>
  </si>
  <si>
    <t>Aviso Prévio Trabalho</t>
  </si>
  <si>
    <t>C3</t>
  </si>
  <si>
    <t>Férias Indenizadas</t>
  </si>
  <si>
    <t>C4</t>
  </si>
  <si>
    <t>Depósito Rescisão sem Justa Causa</t>
  </si>
  <si>
    <t>C5</t>
  </si>
  <si>
    <t>Indenização Adicional</t>
  </si>
  <si>
    <t>Total dos Encargos Sociais que não recebem incidências de A</t>
  </si>
  <si>
    <t>GRUPO D</t>
  </si>
  <si>
    <t>D1</t>
  </si>
  <si>
    <t>Reincidência de Grupo A</t>
  </si>
  <si>
    <t>D2</t>
  </si>
  <si>
    <t>Reincidência de Grupo A sobre Aviso Prévio Trabalho e
Reincidência do FGTS sobre Aviso Prévio Indenizado</t>
  </si>
  <si>
    <t>Total de Reincidência de um Grupo sobre o outro</t>
  </si>
  <si>
    <t>*GRUPO E</t>
  </si>
  <si>
    <t>E1</t>
  </si>
  <si>
    <t>Total dos Encargos Sociais Complementares</t>
  </si>
  <si>
    <t>Fonte: Informação Dias de Chuva - INMET</t>
  </si>
  <si>
    <t>QUADRO DE COMPOSIÇÃO DE TAXA DE BDI</t>
  </si>
  <si>
    <t>DISCRIMINAÇÃO DOS CUSTOS INDIRETOS</t>
  </si>
  <si>
    <t>PORCENTAGEM (%) ADOTADA</t>
  </si>
  <si>
    <t>VARIÁVEIS ACRESCIDAS DE ACORDO COM DIÁRIO OFICIAL DA UNIÃO DO DIA 20 DE SETEMBRO DE 2011</t>
  </si>
  <si>
    <t>CUSTOS TRIBUTÁRIOS</t>
  </si>
  <si>
    <t>TF</t>
  </si>
  <si>
    <t>TRIBUTOS FEDERAIS</t>
  </si>
  <si>
    <t>TM</t>
  </si>
  <si>
    <t>TRIBUTOS MUNICIPAIS</t>
  </si>
  <si>
    <t>PIS</t>
  </si>
  <si>
    <t>PROGRAMAÇÃO DE INTEGRAÇÃO SOCIAL</t>
  </si>
  <si>
    <t>CONFINS</t>
  </si>
  <si>
    <t>FINANC. DA SEGURIDADE SOCIAL</t>
  </si>
  <si>
    <t>TRIBUTO MUNICIPAL</t>
  </si>
  <si>
    <t>ISS</t>
  </si>
  <si>
    <t>5.2</t>
  </si>
  <si>
    <t>5.3</t>
  </si>
  <si>
    <t>Limpeza geral e entrega da obra</t>
  </si>
  <si>
    <t>QTDE.</t>
  </si>
  <si>
    <t>90099</t>
  </si>
  <si>
    <t xml:space="preserve">Escavação mecanizada de vala com prof. até 1,5 m, com retroescavadeira, larg. menor que 0,80 m, em solo de 1A categoria. </t>
  </si>
  <si>
    <t>Usinagem de concreto betuminoso usinado a quente (CBUQ), CAP 50/70, para capa de rolamento e=3cm</t>
  </si>
  <si>
    <t>Unidade: ton</t>
  </si>
  <si>
    <t>Coeficiente</t>
  </si>
  <si>
    <t>Areia média</t>
  </si>
  <si>
    <t>Seixo fino lavado</t>
  </si>
  <si>
    <t>Pá carregadeira sobre rodas, potência 197 HP, capacidade da caçamba 2,5 A 3,5 m³, peso operacional 18338 kg</t>
  </si>
  <si>
    <t>Tanque de asfalto estacionário com serpentina, capacidade 30.000 L</t>
  </si>
  <si>
    <t>Cimento asfáltico de petróleo granel (CAP) 50/70 (coletado caixa na ANP acrescido de ICMS)</t>
  </si>
  <si>
    <t>Usina de mistura asfáltica à quente, tipo contra fluxo, prod 40 a 80ton/hora</t>
  </si>
  <si>
    <t>Grupo gerador com carenagem, motor diesel potência standart entre 250 e 260 KVA</t>
  </si>
  <si>
    <t>Óleo diesel S 500 - comum</t>
  </si>
  <si>
    <t>Óleo residual com baixo ponto de fluidez (BPF). Para queima</t>
  </si>
  <si>
    <t>Operador de usina de asfalto</t>
  </si>
  <si>
    <t>Operador de pá carregadeira</t>
  </si>
  <si>
    <t>Servente com encargos complementares</t>
  </si>
  <si>
    <t>Vibroacabadora de asfalto sobre esteira, largura de pavimentação 1,90M a 5,30M. Potência 105 HP capacidade 450 T/H - CHP DIURNO. AF_11/2014</t>
  </si>
  <si>
    <t>Vibroacabadora de asfalto sobre esteira, largura de pavimentação 1,90M a 5,30M. Potência 105 HP capacidade 450 T/H - CHI DIURNO. AF_11/2015</t>
  </si>
  <si>
    <t>Rasteleiro com encargos complementares</t>
  </si>
  <si>
    <t>Caminhão basculante 10m³ trucado cabine simples, peso bruto total 23.000 kg carga útil máxima 15.935 kg distância entre eixos 4,80m, potência 230 C, inclusive caçamba metálica - CHP DIURNO. AF_06/2014</t>
  </si>
  <si>
    <t>Rolo compactador vibratório tandem, aço liso, potência 125 HP, peso sem/com lastro 10.20/11,65 T, largura de trabalho 1,73m - CHP DIURNO. AF_11/2016</t>
  </si>
  <si>
    <t>Rolo compactador vibratório tandem, aço liso, potência 125 HP, peso sem/com lastro 10.20/11,65 T, largura de trabalho 1,73m - CHI DIURNO. AF_11/2017</t>
  </si>
  <si>
    <t>Trator de pneus com potência de 85 CV, tração 4x4, com vassoura mecânica acoplada - CHI DIURNO. AF_02/2017</t>
  </si>
  <si>
    <t>Trator de pneus com potência de 85 CV, tração 4x4, com vassoura mecânica acoplada - CHP DIURNO. AF_03/2017</t>
  </si>
  <si>
    <t>Rolo compactador de pneus estático, pressão variável, potência 110HP, peso sem/com lastro 10,8/27 T, largura de rolagem 2,30m - CHP DIURNO. AF_06/2017</t>
  </si>
  <si>
    <t>Rolo compactador de pneus estático, pressão variável, potência 110HP, peso sem/com lastro 10,8/27 T, largura de rolagem 2,30m - CHI DIURNO. AF_06/2017</t>
  </si>
  <si>
    <t>CHP</t>
  </si>
  <si>
    <t>L</t>
  </si>
  <si>
    <t>CHI</t>
  </si>
  <si>
    <t>88301</t>
  </si>
  <si>
    <t>88304</t>
  </si>
  <si>
    <t>6.1</t>
  </si>
  <si>
    <t>FONTE</t>
  </si>
  <si>
    <t>SEDOP</t>
  </si>
  <si>
    <t>CPU</t>
  </si>
  <si>
    <t>SINAPI</t>
  </si>
  <si>
    <t>SECRETARIA MUNICIPAL DE SANEAMENTO E INFRAESTRUTURA</t>
  </si>
  <si>
    <t>MÃO DE OBRA</t>
  </si>
  <si>
    <t>COEFIC.</t>
  </si>
  <si>
    <t xml:space="preserve">  CUSTO</t>
  </si>
  <si>
    <t>CUSTO UNITÁRIO</t>
  </si>
  <si>
    <t>SERVENTE COM ENCARGOS COMPLEMENTARES</t>
  </si>
  <si>
    <t xml:space="preserve">( A  )   T O T A L                                      </t>
  </si>
  <si>
    <t>MATERIAL</t>
  </si>
  <si>
    <t xml:space="preserve"> CONSUMO </t>
  </si>
  <si>
    <t>CUSTO</t>
  </si>
  <si>
    <t xml:space="preserve">                   </t>
  </si>
  <si>
    <t>( B  )   T O T A L</t>
  </si>
  <si>
    <t>EQUIPAMENTOS</t>
  </si>
  <si>
    <t>M3</t>
  </si>
  <si>
    <t>( C )   T O T A L</t>
  </si>
  <si>
    <t xml:space="preserve">CUSTO DIRETO TOTAL (A)+(B)+(C)     </t>
  </si>
  <si>
    <t>BDI</t>
  </si>
  <si>
    <t xml:space="preserve">       C U S T O   U N I T Á R I O     T O T A L</t>
  </si>
  <si>
    <t>Espalhamento de material com trator de esteiras. AF_11/2019</t>
  </si>
  <si>
    <t>Execução de Imprimação com asfálto diluído CM-30. AF_11/2019</t>
  </si>
  <si>
    <t>Execução de pintura de ligação com emulsão asfáltica RR-2C. AF_11/2019</t>
  </si>
  <si>
    <t>270220</t>
  </si>
  <si>
    <t>II</t>
  </si>
  <si>
    <t>III</t>
  </si>
  <si>
    <t>Execução de passeio (calçada) ou piso de concreto com concreto moldado in loco, feito em obra, acabamento convencional, espessura 6cm, armado. AF_07/2016</t>
  </si>
  <si>
    <t>CRONOGRAMA FÍSICO-FINANCEIRO</t>
  </si>
  <si>
    <t>DISCRIMINAÇÃO DOS SERVIÇOS</t>
  </si>
  <si>
    <t>PESO %</t>
  </si>
  <si>
    <t>VALOR BDI INCLUSO (R$)</t>
  </si>
  <si>
    <t>MESES</t>
  </si>
  <si>
    <t>%</t>
  </si>
  <si>
    <t>R$</t>
  </si>
  <si>
    <t>SIMPLES</t>
  </si>
  <si>
    <t>ACUMULADO</t>
  </si>
  <si>
    <t>97956</t>
  </si>
  <si>
    <t>Caixa para boca de lobo simples retangular, em alvenaria com blocos de concreto, dimensões internas: 0,6x1x1,2 m. AF_12/2020</t>
  </si>
  <si>
    <t>180263</t>
  </si>
  <si>
    <t>Poço visita em conc. armado 1.2x1.2m h=2.10m-tpo.fofo</t>
  </si>
  <si>
    <t>180723</t>
  </si>
  <si>
    <t>180724</t>
  </si>
  <si>
    <t>020018</t>
  </si>
  <si>
    <t>Demolição manual de concreto simples (para execução de calçada)</t>
  </si>
  <si>
    <t>VIA</t>
  </si>
  <si>
    <t>=</t>
  </si>
  <si>
    <t>L=</t>
  </si>
  <si>
    <t>Quantidade (un)</t>
  </si>
  <si>
    <t>Tubo em concreto simples d= 400mm</t>
  </si>
  <si>
    <t>Preparo de fundo de vala com largura menor que 1.5 m (acerto do solo natural). AF_08/2020</t>
  </si>
  <si>
    <t>Tubo em concreto armado d= 600mm</t>
  </si>
  <si>
    <t xml:space="preserve">Execução de boca de lobo  </t>
  </si>
  <si>
    <t xml:space="preserve">Execução de poço de visita </t>
  </si>
  <si>
    <t xml:space="preserve">Execução e compactação de base e ou sub base para pavimentação de solo arenoso (SOLO MELHORADO COM SEIXO) - exclusive escavação, carga e transporte. </t>
  </si>
  <si>
    <t>m³Xkm</t>
  </si>
  <si>
    <t>Tubo em concreto armado d= 800mm</t>
  </si>
  <si>
    <t>Tubo em concreto armado d= 1000mm</t>
  </si>
  <si>
    <t>H</t>
  </si>
  <si>
    <t>SEIXO ROLADO PARA APLICAÇÃO EM CONCRETO</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</si>
  <si>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</si>
  <si>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</si>
  <si>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0,0040000</t>
  </si>
  <si>
    <t>Unidade:  UNID.</t>
  </si>
  <si>
    <t>88253</t>
  </si>
  <si>
    <t>Auxiliar de topográfo com engargos complementares</t>
  </si>
  <si>
    <t>MEMÓRIA DE CÁLCULO</t>
  </si>
  <si>
    <t>Ref.</t>
  </si>
  <si>
    <t>Quantidade</t>
  </si>
  <si>
    <t>h/dia</t>
  </si>
  <si>
    <t>dias/mês</t>
  </si>
  <si>
    <t>quant. Meses</t>
  </si>
  <si>
    <t>Topográfo</t>
  </si>
  <si>
    <t>Auxiliar de topográfo</t>
  </si>
  <si>
    <t>PREÇO UNIT. C/ BDI</t>
  </si>
  <si>
    <t>PORCENTAGEM (%) ADOTADA PELA MÉDIA DOS QUARTIS</t>
  </si>
  <si>
    <t>Administração Central da Obra - AC</t>
  </si>
  <si>
    <t>DESPESAS FINANCEIRAS -DF</t>
  </si>
  <si>
    <t>Sub Total</t>
  </si>
  <si>
    <t>R</t>
  </si>
  <si>
    <t>Risco - R</t>
  </si>
  <si>
    <t>S+G</t>
  </si>
  <si>
    <t>Seguro - S/Garantia - G</t>
  </si>
  <si>
    <t>TOTAL- I</t>
  </si>
  <si>
    <t xml:space="preserve"> LUCRO)</t>
  </si>
  <si>
    <t>DEMONSTRAÇÃO DOS TRIBUTOS FEDERAL</t>
  </si>
  <si>
    <t>CPRB</t>
  </si>
  <si>
    <t>Variável de Desoneração de 4,5%</t>
  </si>
  <si>
    <t>DEMONSTRAÇÃO DOS TRIBUTOS MUNICIPAL</t>
  </si>
  <si>
    <t>DEMONSTRAÇÕES DAS VARIÁVEIS DA FORMULAS ADOTADA PELO TCU</t>
  </si>
  <si>
    <t>AC =</t>
  </si>
  <si>
    <t>S+G =</t>
  </si>
  <si>
    <t>R =</t>
  </si>
  <si>
    <t>(1+AC+S+R+G)=</t>
  </si>
  <si>
    <t>DF=</t>
  </si>
  <si>
    <t>(1+DF)=</t>
  </si>
  <si>
    <t>(1+L)=</t>
  </si>
  <si>
    <t>I=</t>
  </si>
  <si>
    <t>(1-I)=</t>
  </si>
  <si>
    <t>BDI=</t>
  </si>
  <si>
    <t>BDI= BDI - MENOS 4,50%</t>
  </si>
  <si>
    <t xml:space="preserve"> &lt; 24,23% (OK)</t>
  </si>
  <si>
    <t>Verificações: com a retirada de 4,5% de CPRB. O valor terá que ser menor que 24,23%</t>
  </si>
  <si>
    <t>Placa de obra em lona com plotagem de gráfica</t>
  </si>
  <si>
    <t>VASSOURA MECÂNICA REBOCÁVEL COM ESCOVA CILÍNDRICA, LARGURA ÚTIL DE VARRIMENTO DE 2,44 M - CHP DIURNO. AF_06/2014</t>
  </si>
  <si>
    <t>VASSOURA MECÂNICA REBOCÁVEL COM ESCOVA CILÍNDRICA, LARGURA ÚTIL DE VARRIMENTO DE 2,44 M - CHI DIURNO. AF_06/2014</t>
  </si>
  <si>
    <t>TRATOR DE PNEUS, POTÊNCIA 85 CV, TRAÇÃO 4X4, PESO COM LASTRO DE 4.675 KG - CHP DIURNO. AF_06/2014</t>
  </si>
  <si>
    <t>TRATOR DE PNEUS, POTÊNCIA 85 CV, TRAÇÃO 4X4, PESO COM LASTRO DE 4.675 KG - CHI DIURNO. AF_06/2014</t>
  </si>
  <si>
    <t xml:space="preserve">ENCARGOS SOCIAIS SOBRE A MÃO DE OBRA  </t>
  </si>
  <si>
    <t>COM DESONERAÇÃO</t>
  </si>
  <si>
    <t>SEM DESONERAÇÃO</t>
  </si>
  <si>
    <t>TOTAL (A+B+C+D)</t>
  </si>
  <si>
    <t>SECRETARIA MUNICIAL DE SANEAMENTO E INFRAESTRUTURA</t>
  </si>
  <si>
    <t>IV</t>
  </si>
  <si>
    <t>Unidade: M²</t>
  </si>
  <si>
    <t>Execução de imprimação base para pavimentação</t>
  </si>
  <si>
    <t>Código</t>
  </si>
  <si>
    <t>CPU-02</t>
  </si>
  <si>
    <t xml:space="preserve"> Unidade: M³</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</si>
  <si>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</si>
  <si>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</si>
  <si>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0,0280000</t>
  </si>
  <si>
    <t>MOTONIVELADORA POTÊNCIA BÁSICA LÍQUIDA (PRIMEIRA MARCHA) 125 HP, PESO BRUTO 13032 KG, LARGURA DA LÂMINA DE 3,7 M - CHP DIURNO. AF_06/2014</t>
  </si>
  <si>
    <t>0,0080000</t>
  </si>
  <si>
    <t>MOTONIVELADORA POTÊNCIA BÁSICA LÍQUIDA (PRIMEIRA MARCHA) 125 HP, PESO BRUTO 13032 KG, LARGURA DA LÂMINA DE 3,7 M - CHI DIURNO. AF_06/2014</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</si>
  <si>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</si>
  <si>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</si>
  <si>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PEDREIRO COM ENCARGOS COMPLEMENTARES</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</si>
  <si>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</si>
  <si>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</si>
  <si>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ARGAMASSA TRAÇO 1:3 (EM VOLUME DE CIMENTO E AREIA GROSSA ÚMIDA) PARA CHAPISCO CONVENCIONAL, PREPARO MECÂNICO COM BETONEIRA 400 L. AF_08/2019</t>
  </si>
  <si>
    <t>MONTAGEM E DESMONTAGEM DE FÔRMA DE PILARES RETANGULARES E ESTRUTURAS SIMILARES, PÉ-DIREITO SIMPLES, EM CHAPA DE MADEIRA COMPENSADA RESINADA, 4 UTILIZAÇÕES. AF_09/2020</t>
  </si>
  <si>
    <t>M2</t>
  </si>
  <si>
    <t>ARMAÇÃO DE ESTRUTURAS DE CONCRETO ARMADO, EXCETO VIGAS, PILARES, LAJES E FUNDAÇÕES, UTILIZANDO AÇO CA-60 DE 5,0 MM - MONTAGEM. AF_12/2015</t>
  </si>
  <si>
    <t>KG</t>
  </si>
  <si>
    <t>CONCRETO FCK = 15MPA, TRAÇO 1:3,4:3,5 (CIMENTO/ AREIA MÉDIA/ BRITA 1)  - PREPARO MECÂNICO COM BETONEIRA 600 L. AF_07/2016</t>
  </si>
  <si>
    <t>PREPARO DE FUNDO DE VALA COM LARGURA MENOR QUE 1,5 M (ACERTO DO SOLO NATURAL). AF_08/2020</t>
  </si>
  <si>
    <t>Unidade: unid</t>
  </si>
  <si>
    <t>und.</t>
  </si>
  <si>
    <t>COTAÇÃO</t>
  </si>
  <si>
    <t>EAI CM ECOIMPRIMA (ASFALTO DILUÍDO)</t>
  </si>
  <si>
    <t xml:space="preserve"> 0,002</t>
  </si>
  <si>
    <t xml:space="preserve"> 0,004</t>
  </si>
  <si>
    <t>ESPARGIDOR DE ASFALTO PRESSURIZADO, TANQUE 6 M3 COM ISOLAÇÃO TÉRMICA, AQUECIDO COM 2 MAÇARICOS, COM BARRA ESPARGIDORA 3,60 M, MONTADO SOBRE CAMINHÃO  TOCO, PBT 14.300 KG, POTÊNCIA 185 CV - CHP DIURNO. AF_08/2015</t>
  </si>
  <si>
    <t xml:space="preserve"> 0,001</t>
  </si>
  <si>
    <t xml:space="preserve"> 0,0017</t>
  </si>
  <si>
    <t xml:space="preserve"> 0,0041</t>
  </si>
  <si>
    <t>ESPARGIDOR DE ASFALTO PRESSURIZADO, TANQUE 6 M3 COM ISOLAÇÃO TÉRMICA, AQUECIDO COM 2 MAÇARICOS, COM BARRA ESPARGIDORA 3,60 M, MONTADO SOBRE CAMINHÃO  TOCO, PBT 14.300 KG, POTÊNCIA 185 CV - CHI DIURNO. AF_08/2015</t>
  </si>
  <si>
    <t xml:space="preserve"> 0,0049</t>
  </si>
  <si>
    <t>CAP - VISCOSIDADE ABSOLUTA À 60ºC</t>
  </si>
  <si>
    <t>ESPECIFICAÇÕES 
(DIMENÇÕES/PESO)</t>
  </si>
  <si>
    <t>PREÇO POR KG</t>
  </si>
  <si>
    <t>CAP - 7</t>
  </si>
  <si>
    <t>CAP - 20</t>
  </si>
  <si>
    <t>CAP - 40</t>
  </si>
  <si>
    <t xml:space="preserve">CAP - Segundo ensaio de Penetração, 
realizado a 25ºC </t>
  </si>
  <si>
    <t>CAP - 30/45</t>
  </si>
  <si>
    <t>CAP - 50/70</t>
  </si>
  <si>
    <t>CAP - 85/100</t>
  </si>
  <si>
    <t>CAP - 55/75</t>
  </si>
  <si>
    <t>CAP - 150/200</t>
  </si>
  <si>
    <t>Asfalto Diluído</t>
  </si>
  <si>
    <t>CM ECOPRIME</t>
  </si>
  <si>
    <t>CR-70</t>
  </si>
  <si>
    <t>EAI CM ECOIMPRIMA</t>
  </si>
  <si>
    <t>30 TON</t>
  </si>
  <si>
    <t>CR-3000</t>
  </si>
  <si>
    <t>CM-30</t>
  </si>
  <si>
    <t>CM-70</t>
  </si>
  <si>
    <t>CM-250</t>
  </si>
  <si>
    <t>CM-800</t>
  </si>
  <si>
    <t>Emulsão Asfáltica</t>
  </si>
  <si>
    <t>RR-1C</t>
  </si>
  <si>
    <t>RR-2C</t>
  </si>
  <si>
    <t>RL-1C</t>
  </si>
  <si>
    <t>Colchão de areia e=20 cm</t>
  </si>
  <si>
    <t>Transporte com caminhão basculante de 14 m³, em via em revestimento primário. AF_07/2020</t>
  </si>
  <si>
    <t>93379</t>
  </si>
  <si>
    <t>Carga, manobra e descarga de solos e materiais granulares em caminhão basculante 18 m³ - carga com escavadeira hidráulica (caçamba de 1,20 m³ / 155 hp) e descarga livre (unidade: t). Af_07/2020</t>
  </si>
  <si>
    <t>93591</t>
  </si>
  <si>
    <t>Transporte com caminhão basculante 14 m³, em via urbana em leito natural. AF_07/2020</t>
  </si>
  <si>
    <t>Ø 400</t>
  </si>
  <si>
    <t>LARGURA</t>
  </si>
  <si>
    <t>(m)</t>
  </si>
  <si>
    <t>TRECHO</t>
  </si>
  <si>
    <t>BAIRRO</t>
  </si>
  <si>
    <t>(und.)</t>
  </si>
  <si>
    <t>PROFUNDIDADE</t>
  </si>
  <si>
    <t>TOTAL (A)</t>
  </si>
  <si>
    <t>DECLIVIDADE</t>
  </si>
  <si>
    <t>PREPARO DE FUNDO</t>
  </si>
  <si>
    <t>VOLUME TUBOS</t>
  </si>
  <si>
    <t>E = (AxBxC) + (AxBxD)</t>
  </si>
  <si>
    <t>COLCHÃO DE AREIA</t>
  </si>
  <si>
    <t>ASSENTAMENTO</t>
  </si>
  <si>
    <t>CÁLCULO PARA TUBULAÇÃO DE 400 MM</t>
  </si>
  <si>
    <t>CÁLCULO PARA TUBULAÇÃO DE 600 MM</t>
  </si>
  <si>
    <t>CÁLCULO PARA TUBULAÇÃO DE 800 MM</t>
  </si>
  <si>
    <t>CÁLCULO PARA TUBULAÇÃO DE 1000 MM</t>
  </si>
  <si>
    <t>VIA/TRECHO</t>
  </si>
  <si>
    <t>COLCHÃO</t>
  </si>
  <si>
    <t>$ TOTAL</t>
  </si>
  <si>
    <t>CAIXA PARA BOCA DE LOBO</t>
  </si>
  <si>
    <t>POÇOS DE VISITA</t>
  </si>
  <si>
    <t>Ø 600</t>
  </si>
  <si>
    <t>MEMÓRIA DE CÁLCULO PARA DRENAGEM PROFUNDA</t>
  </si>
  <si>
    <t>EXTENSÃO</t>
  </si>
  <si>
    <t xml:space="preserve">TOTAL </t>
  </si>
  <si>
    <t>DADOS</t>
  </si>
  <si>
    <t>TERRAPLENAGEM</t>
  </si>
  <si>
    <t>CAIXA PRIMÁRIA</t>
  </si>
  <si>
    <t>PAVIMENTAÇÃO ASFÁLTICA</t>
  </si>
  <si>
    <t>TRANSPORTE (m³ x km)</t>
  </si>
  <si>
    <t>TRANSPORTE CBUQ</t>
  </si>
  <si>
    <t>RUAS</t>
  </si>
  <si>
    <t>ESPESSURA (m)</t>
  </si>
  <si>
    <t>LARGURA (m)</t>
  </si>
  <si>
    <t>DEMOLIÇÃO (m³)</t>
  </si>
  <si>
    <t>EXTENSÃO (m)</t>
  </si>
  <si>
    <t>CALÇADA  (m²)</t>
  </si>
  <si>
    <t>PASSEIO</t>
  </si>
  <si>
    <t>D = A x C x esp</t>
  </si>
  <si>
    <t>ESCAVAÇÃO PARA MEIO FIO (m³)</t>
  </si>
  <si>
    <t>MEIO FIO / SARJETA (m)</t>
  </si>
  <si>
    <t>LIMPEZA MECANIZADA (m²)</t>
  </si>
  <si>
    <t>ESCAVAÇÃO (m³)</t>
  </si>
  <si>
    <t>IMPRIMAÇAO (m²)</t>
  </si>
  <si>
    <t>PINT. LIG.  (m²)</t>
  </si>
  <si>
    <t>MEMÓRIA DE CÁLCULO PARA INFRAESTRUTURA</t>
  </si>
  <si>
    <t>$ UNIT</t>
  </si>
  <si>
    <t>0,1600000</t>
  </si>
  <si>
    <t>0,0120000</t>
  </si>
  <si>
    <t>0,0360000</t>
  </si>
  <si>
    <t>0,0320000</t>
  </si>
  <si>
    <t>0,0050000</t>
  </si>
  <si>
    <t>0,0350000</t>
  </si>
  <si>
    <t>GRADE DE DISCO REBOCÁVEL COM 20 DISCOS 24" X 6 MM COM PNEUS PARA TRANSPORTE - CHP DIURNO. AF_06/2014</t>
  </si>
  <si>
    <t>GRADE DE DISCO REBOCÁVEL COM 20 DISCOS 24" X 6 MM COM PNEUS PARA TRANSPORTE - CHI DIURNO. AF_06/2014</t>
  </si>
  <si>
    <t>E = A x C x 2</t>
  </si>
  <si>
    <t xml:space="preserve">SERVIÇO:  </t>
  </si>
  <si>
    <t>ADMINISTRAÇÃO LOCAL DA OBRA</t>
  </si>
  <si>
    <t xml:space="preserve"> Unidade: UNID</t>
  </si>
  <si>
    <t>ENGENHEIRO CIVIL DE OBRA PLENO COM ENCARGOS COMPLEMENTARES</t>
  </si>
  <si>
    <t>ENCARREGADO GERAL COM ENCARGOS COMPLEMENTARES</t>
  </si>
  <si>
    <t>VIGIA NOTURNO COM ENCARGOS COMPLEMENTARES</t>
  </si>
  <si>
    <t>Engenheiro Civil</t>
  </si>
  <si>
    <t>Encarregado Geral</t>
  </si>
  <si>
    <t>Vigia noturno</t>
  </si>
  <si>
    <t>V</t>
  </si>
  <si>
    <t>Assentamento de tubo de concreto para redes coletoras de águas pluviais, diâmetro de 1200 mm, junta rígida, instalado em local com alto nível de interferências. AF_12/2015</t>
  </si>
  <si>
    <t>Assentamento de tubo de concreto para redes coletoras de águas pluviais, diâmetro de 1500 mm, junta rígida, instalado em local com alto nível de interferências. AF_12/2015</t>
  </si>
  <si>
    <t>92821</t>
  </si>
  <si>
    <t>Assentamento de tubo de concreto para redes coletoras de águas pluviais, diâmetro de 400 mm, junta rígida, instalado em local com alto nível de interferências. AF_12/2015</t>
  </si>
  <si>
    <t>Assentamento de tubo de concreto para redes coletoras de águas pluviais, diâmetro de 600mm, junta rígida, instalado em local com baixo alto de interferências. AF_12/2015</t>
  </si>
  <si>
    <t>Assentamento de tubo de concreto para redes coletoras de águas pluviais, diâmetro de 800mm, junta rígida, instalado em local com alto nível de interferências. AF_12/2015</t>
  </si>
  <si>
    <t>Assentamento de tubo de concreto para redes coletoras de águas pluviais, diâmetro de 1000 mm, junta rígida, instalado em local com alto nível de interferências</t>
  </si>
  <si>
    <t>Locação de rede com auxílio de equipamento topográfico</t>
  </si>
  <si>
    <t>VALOR TOTAL</t>
  </si>
  <si>
    <t>QUANTIDADE</t>
  </si>
  <si>
    <t>DEMOLIÇÕES E RETIRADAS</t>
  </si>
  <si>
    <t>020174</t>
  </si>
  <si>
    <t>Retirada de entulho - manualmente (Incluindo Caixa Coletora)</t>
  </si>
  <si>
    <t>TOTAL DO  ITEM 2:</t>
  </si>
  <si>
    <t>00012574</t>
  </si>
  <si>
    <t>00012575</t>
  </si>
  <si>
    <t>4.5</t>
  </si>
  <si>
    <t>4.5.1</t>
  </si>
  <si>
    <t>4.5.2</t>
  </si>
  <si>
    <t>4.5.3</t>
  </si>
  <si>
    <t>4.5.4</t>
  </si>
  <si>
    <t>4.5.5</t>
  </si>
  <si>
    <t>4.5.6</t>
  </si>
  <si>
    <t>4.5.7</t>
  </si>
  <si>
    <t>4.6</t>
  </si>
  <si>
    <t>4.6.1</t>
  </si>
  <si>
    <t>4.6.2</t>
  </si>
  <si>
    <t>4.6.3</t>
  </si>
  <si>
    <t>4.6.4</t>
  </si>
  <si>
    <t>4.6.5</t>
  </si>
  <si>
    <t>4.6.6</t>
  </si>
  <si>
    <t>4.6.7</t>
  </si>
  <si>
    <t xml:space="preserve">Execução de tampa de boca de lobo  </t>
  </si>
  <si>
    <t>ORSE</t>
  </si>
  <si>
    <t>Tampa de concreto armado, dimensões: 1,00x1,20mx0,07m com furos</t>
  </si>
  <si>
    <t xml:space="preserve">Execução de tampa de poço de visita </t>
  </si>
  <si>
    <t>98115</t>
  </si>
  <si>
    <t>Tampa circular para esgoto e drenagem, em concreto pré-moldado, diâmetro interno = 0,6 M. AF_12/2020</t>
  </si>
  <si>
    <t>MEIO FIO E SARJETA</t>
  </si>
  <si>
    <t>RETIRADAS</t>
  </si>
  <si>
    <t>ENTULHO (m³)</t>
  </si>
  <si>
    <t>CÁLCULO PARA TUBULAÇÃO DE 1200 MM</t>
  </si>
  <si>
    <t>CÁLCULO PARA TUBULAÇÃO DE 1500 MM</t>
  </si>
  <si>
    <t>TAMPA PARA BOCA DE LOBO</t>
  </si>
  <si>
    <t>TAMPA PARA POÇOS DE VISITA</t>
  </si>
  <si>
    <t>Tubo de concreto armado para águas pluviais, classe PA-3, diâmetro nominal de 1200 mm</t>
  </si>
  <si>
    <t>Tubo de concreto armado para águas pluviais, classe PA-3, diâmetro nominal de 1500 mm</t>
  </si>
  <si>
    <t>5.4</t>
  </si>
  <si>
    <t>OBSERVAÇÃO 2 JENIFFER: APENAS OCULTAR OS ITENS E LINHAS DA MEMÓRIA QUE NÃO SERÃO CONTEMPLADOS, INCLUSIVE AS GUIAS!</t>
  </si>
  <si>
    <t>OBSERVAÇÃO 3 JENIFFER: NÃO ENCAMINHAR JUNTO AO PROCESSO A GUIA "DADOS"</t>
  </si>
  <si>
    <t xml:space="preserve">OBSERVAÇÃO JENIFFER: TEM QUE DEIXAR ESTA LISTA (DADOS) E AS MEMÓRIAS NA MESMA ORDEM DE RUAS PARA QUE O VALOR INDIVIDUAL SEJA CALCULADO CORRETAMENTE. </t>
  </si>
  <si>
    <t>K</t>
  </si>
  <si>
    <t>T</t>
  </si>
  <si>
    <t xml:space="preserve">m³ </t>
  </si>
  <si>
    <t>CARGA E DESCARGA P/ TRANSPORTE (m³)</t>
  </si>
  <si>
    <t>ESPESSURA DE CORTE (m)</t>
  </si>
  <si>
    <t>Reforço de bordo</t>
  </si>
  <si>
    <t>90776</t>
  </si>
  <si>
    <t>GRADE DE DISCO CONTROLE REMOTO REBOCÁVEL, COM 24 DISCOS 24 X 6 MM COM PNEUS PARA TRANSPORTE - CHP DIURNO. AF_06/2014</t>
  </si>
  <si>
    <t>GRADE DE DISCO CONTROLE REMOTO REBOCÁVEL, COM 24 DISCOS 24 X 6 MM COM PNEUS PARA TRANSPORTE - CHI DIURNO. AF_06/2014</t>
  </si>
  <si>
    <t>180722</t>
  </si>
  <si>
    <t>Aterro incluindo carga, descarga, transporte e apiloamento</t>
  </si>
  <si>
    <t>030675</t>
  </si>
  <si>
    <t>Escavação mecanizada</t>
  </si>
  <si>
    <t>fazer cpu p atualizar</t>
  </si>
  <si>
    <t>Limpeza do terreno</t>
  </si>
  <si>
    <t>4.5.8</t>
  </si>
  <si>
    <t>4.5.9</t>
  </si>
  <si>
    <t>4.6.8</t>
  </si>
  <si>
    <t>4.6.9</t>
  </si>
  <si>
    <t>CAMADA ARENOSO</t>
  </si>
  <si>
    <t xml:space="preserve">REF SINAPI 100565 </t>
  </si>
  <si>
    <t>SOLUÇÃO ASFÁLTICA - CM 30</t>
  </si>
  <si>
    <t>UNID.</t>
  </si>
  <si>
    <t xml:space="preserve">$ UNIT. </t>
  </si>
  <si>
    <t>CÁLCULO DA MÉDIA  =</t>
  </si>
  <si>
    <t>Escavação horizontal em solo de 1A categoria com trator de esteiras. AF_07/2020</t>
  </si>
  <si>
    <t>F = E</t>
  </si>
  <si>
    <t>ESCAVAÇÃO MECANIZADA</t>
  </si>
  <si>
    <t>CARGA  E DESCARGA</t>
  </si>
  <si>
    <t>ATERRO</t>
  </si>
  <si>
    <t>ESCORAMENTO</t>
  </si>
  <si>
    <t>TRANSPORTE ESCAVAÇÃO</t>
  </si>
  <si>
    <t>G = F x empolamento 25% x DMT</t>
  </si>
  <si>
    <t>H = AxB</t>
  </si>
  <si>
    <t>I = H</t>
  </si>
  <si>
    <t>J = (πxr²)xA</t>
  </si>
  <si>
    <t>EXTENSÃO ESPINHA</t>
  </si>
  <si>
    <t>Execução de ala de lançamento</t>
  </si>
  <si>
    <t xml:space="preserve">Ala de lançamento para rede tubular </t>
  </si>
  <si>
    <t>ALA DE LANÇAMENTO</t>
  </si>
  <si>
    <t>TUBULAÇÃO 400</t>
  </si>
  <si>
    <t>FORN</t>
  </si>
  <si>
    <t>ESC</t>
  </si>
  <si>
    <t xml:space="preserve">CARGA </t>
  </si>
  <si>
    <t>TRANSPORTE ESC</t>
  </si>
  <si>
    <t xml:space="preserve">PREPARO </t>
  </si>
  <si>
    <t>TUBULAÇÃO 600</t>
  </si>
  <si>
    <t>TUBULAÇÃO 800</t>
  </si>
  <si>
    <t>TUBULAÇÃO 1000</t>
  </si>
  <si>
    <t>TUBULAÇÃO 1200</t>
  </si>
  <si>
    <t>TUBULAÇÃO 1500</t>
  </si>
  <si>
    <t>$</t>
  </si>
  <si>
    <t>DRENAGEM PROFUNDA</t>
  </si>
  <si>
    <t>PAVIMENTAÇÃO</t>
  </si>
  <si>
    <t>MEIO FIO / SARJETA</t>
  </si>
  <si>
    <t>CALÇADA</t>
  </si>
  <si>
    <t>DEMOLIÇÃO</t>
  </si>
  <si>
    <t>ENTULHO</t>
  </si>
  <si>
    <t>SARJETA</t>
  </si>
  <si>
    <t>MEIO FIO</t>
  </si>
  <si>
    <t>C = A x (B+1)</t>
  </si>
  <si>
    <t>G = A x 2</t>
  </si>
  <si>
    <t>F = G x 0,43 x 0,10</t>
  </si>
  <si>
    <t>H = D + F</t>
  </si>
  <si>
    <t>I = A x B</t>
  </si>
  <si>
    <t>J = A x B</t>
  </si>
  <si>
    <t>M = L x DMT</t>
  </si>
  <si>
    <t>LISTA DE RUAS (DADOS GERAIS)</t>
  </si>
  <si>
    <t>J00001</t>
  </si>
  <si>
    <t>ATERRO ARENOSO</t>
  </si>
  <si>
    <t>Ø 1500</t>
  </si>
  <si>
    <t xml:space="preserve">EXTENSÃO </t>
  </si>
  <si>
    <t>Ø 1200</t>
  </si>
  <si>
    <t>Ø 1000</t>
  </si>
  <si>
    <t>Ø 800</t>
  </si>
  <si>
    <t>Transporte com caminhão basculante 18 m³, em via urbana pavimentada até DMT 30 km. AF_07/2020</t>
  </si>
  <si>
    <t>m³ x Km</t>
  </si>
  <si>
    <t>E = C x D</t>
  </si>
  <si>
    <t>G = E x 1,3 x DMT</t>
  </si>
  <si>
    <t>ESPALHAMENTO (m³)</t>
  </si>
  <si>
    <t>CARGA E DESCARGA (m³)</t>
  </si>
  <si>
    <t>TRANSPORTE  (m³ x km)</t>
  </si>
  <si>
    <t>I = C x H</t>
  </si>
  <si>
    <t>M</t>
  </si>
  <si>
    <t>J = I</t>
  </si>
  <si>
    <t>K = I</t>
  </si>
  <si>
    <t>L = I x 1,3 x DMT</t>
  </si>
  <si>
    <t>Aterro arenoso</t>
  </si>
  <si>
    <t>EXECUÇÃO E COMPACTAÇÃO (m³)</t>
  </si>
  <si>
    <t>N = C x M</t>
  </si>
  <si>
    <t>O = N</t>
  </si>
  <si>
    <t>SERV. PRELIM. + LIMPEZA</t>
  </si>
  <si>
    <t xml:space="preserve">CÓDIGO DESONERADO </t>
  </si>
  <si>
    <t>Execução de pavimento com aplicação de concreto asfáltico, camada de rolamento - exclusive carga e transporte. AF_11/2019</t>
  </si>
  <si>
    <t>TON</t>
  </si>
  <si>
    <t>M³</t>
  </si>
  <si>
    <t>F = J</t>
  </si>
  <si>
    <t>Øext  + 0,5</t>
  </si>
  <si>
    <t>Øext  + 0,6</t>
  </si>
  <si>
    <t>O = A x B</t>
  </si>
  <si>
    <t>Unidade: m³</t>
  </si>
  <si>
    <t>ROLO COMPACTADOR DE PNEUS ESTÁTICO, PRESSÃO VARIÁVEL, POTÊNCIA 111 HP, PESO SEM/COM LASTRO 9,5 / 26 T, LARGURA DE TRABALHO 1,90 M - CHI DIURNO. AF_07/2014</t>
  </si>
  <si>
    <t>ROLO COMPACTADOR DE PNEUS ESTÁTICO, PRESSÃO VARIÁVEL, POTÊNCIA 111 HP, PESO SEM/COM LASTRO 9,5 / 26 T, LARGURA DE TRABALHO 1,90 M - CHP DIURNO. AF_07/2014</t>
  </si>
  <si>
    <t>TRATOR DE PNEUS COM POTÊNCIA DE 122 CV, TRAÇÃO 4X4, COM GRADE DE DISCOS ACOPLADA - CHI DIURNO. AF_02/2017</t>
  </si>
  <si>
    <t>TRATOR DE PNEUS COM POTÊNCIA DE 122 CV, TRAÇÃO 4X4, COM GRADE DE DISCOS ACOPLADA - CHP DIURNO. AF_02/2017</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</si>
  <si>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</si>
  <si>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CHP DIURNO. AF_06/2014</t>
  </si>
  <si>
    <t>00006079</t>
  </si>
  <si>
    <t>ARGILA, ARGILA VERMELHA OU ARGILA ARENOSA (RETIRADA NA JAZIDA, SEM TRANSPORTE)</t>
  </si>
  <si>
    <t>D – Serviços</t>
  </si>
  <si>
    <t>100980</t>
  </si>
  <si>
    <t>D - Custo Total de Serviços:</t>
  </si>
  <si>
    <t>Serviços</t>
  </si>
  <si>
    <t>[transportar subtotal D]</t>
  </si>
  <si>
    <t>A+B+C+D</t>
  </si>
  <si>
    <t>F</t>
  </si>
  <si>
    <t>ExBDI</t>
  </si>
  <si>
    <t>VI</t>
  </si>
  <si>
    <t>REFORÇO</t>
  </si>
  <si>
    <t>REFORÇO (m³)</t>
  </si>
  <si>
    <t>E = (AxBxC) + (AxCxD)</t>
  </si>
  <si>
    <t>N = (%xA)x(%xB)xespx2</t>
  </si>
  <si>
    <t>1,5 ≤ H ≥ 3,0 e 1,5 ≤ L ≥ 2,5</t>
  </si>
  <si>
    <t>CBUQ (m³)</t>
  </si>
  <si>
    <t xml:space="preserve">L = J x K </t>
  </si>
  <si>
    <t>REATERRO</t>
  </si>
  <si>
    <t>M = AxCx2</t>
  </si>
  <si>
    <t>N = A</t>
  </si>
  <si>
    <t>K = (E - J) x 70%</t>
  </si>
  <si>
    <t>L = (E - J) x 30%</t>
  </si>
  <si>
    <t>Escoramento de vala, tipo descontínuo, com profundidade de 1,5 A 3,0 m, largura maior ou igual A 1,5 M e menor que 2,5 M. AF_08/2020</t>
  </si>
  <si>
    <t>Reaterro mecanizado de vala com retroescavadeira, largura de 0,8 m até 1,5 m, profundidade até 1,5 m, com solo de 1 categoria em locais com baixo nível de interferência. AF_04/2016</t>
  </si>
  <si>
    <t>CPU - I</t>
  </si>
  <si>
    <t>CPU - II</t>
  </si>
  <si>
    <t>CPU - III</t>
  </si>
  <si>
    <t>J00001 - SEDOP</t>
  </si>
  <si>
    <t>REF SINAPI 101768</t>
  </si>
  <si>
    <t>ROLO COMPACTADOR VIBRATÓRIO PÉ DE CARNEIRO PARA SOLOS, POTÊNCIA 80 HP, PESO OPERACIONAL SEM/COM LASTRO 7,4 / 8,8 T, LARGURA DE TRABALHO 1,68 M - CHP DIURNO. AF_02/2016</t>
  </si>
  <si>
    <t>ROLO COMPACTADOR VIBRATÓRIO PÉ DE CARNEIRO PARA SOLOS, POTÊNCIA 80 HP, PESO OPERACIONAL SEM/COM LASTRO 7,4 / 8,8 T, LARGURA DE TRABALHO 1,68 M - CHI DIURNO. AF_02/2016</t>
  </si>
  <si>
    <t>CAMADA ARENOSO/SEIXO</t>
  </si>
  <si>
    <t>P = N</t>
  </si>
  <si>
    <t>Q = E x 1,3 x DMT</t>
  </si>
  <si>
    <t>CPU - IV</t>
  </si>
  <si>
    <t>CPU - V</t>
  </si>
  <si>
    <t>CPU - VII</t>
  </si>
  <si>
    <t>CPU - VI</t>
  </si>
  <si>
    <t>SERVIÇO: Execução e compactação de base e ou sub base para pavimentação de solo arenoso (SOLO MELHORADO COM SEIXO) - exclusive escavação, carga e transporte. (Seixo: 31 % / Aterro: 69%)</t>
  </si>
  <si>
    <t>SERVIÇO: Execução e compactação de base e ou sub base para pavimentação de solo estabilizado granulometricamente sem mistura de solos - exclusive escavação, carga e transporte. AF_11/2019</t>
  </si>
  <si>
    <t>Execução e compactação de base e ou sub base para pavimentação de solo estabilizado granulometricamente sem mistura de solos - exclusive escavação, carga e transporte. AF_11/2019. (Seixo: 31 % / Aterro: 69%)</t>
  </si>
  <si>
    <t>11135</t>
  </si>
  <si>
    <t>PREÇO DO CM-30</t>
  </si>
  <si>
    <t>CBAA</t>
  </si>
  <si>
    <t>4.2</t>
  </si>
  <si>
    <t>4.3</t>
  </si>
  <si>
    <t>4.3.1</t>
  </si>
  <si>
    <t>4.3.2</t>
  </si>
  <si>
    <t>4.3.3</t>
  </si>
  <si>
    <t>4.3.4</t>
  </si>
  <si>
    <t>4.3.5</t>
  </si>
  <si>
    <t>4.3.6</t>
  </si>
  <si>
    <t>4.3.7</t>
  </si>
  <si>
    <t>4.3.8</t>
  </si>
  <si>
    <t>4.3.9</t>
  </si>
  <si>
    <t>4.4</t>
  </si>
  <si>
    <t>4.4.1</t>
  </si>
  <si>
    <t>4.4.2</t>
  </si>
  <si>
    <t>4.4.3</t>
  </si>
  <si>
    <t>4.4.4</t>
  </si>
  <si>
    <t>4.4.5</t>
  </si>
  <si>
    <t>4.4.6</t>
  </si>
  <si>
    <t>4.4.7</t>
  </si>
  <si>
    <t>4.4.8</t>
  </si>
  <si>
    <t>4.4.9</t>
  </si>
  <si>
    <t>TOTAL DO ITEM 8:</t>
  </si>
  <si>
    <t>TOTAL DO ITEM 4:</t>
  </si>
  <si>
    <t>EMAM/ACARÁ-PA</t>
  </si>
  <si>
    <t>WRL</t>
  </si>
  <si>
    <t>2.3</t>
  </si>
  <si>
    <t>TOTAL DO ITEM 2:</t>
  </si>
  <si>
    <t>Barracão de madeira/Almoxarifado</t>
  </si>
  <si>
    <t>1.3</t>
  </si>
  <si>
    <t>Locação de pavimentação. AF_10/2018</t>
  </si>
  <si>
    <t>I</t>
  </si>
  <si>
    <t>Administração da obra</t>
  </si>
  <si>
    <t>VII</t>
  </si>
  <si>
    <t xml:space="preserve">     </t>
  </si>
  <si>
    <t>3.7</t>
  </si>
  <si>
    <t>3.7.1</t>
  </si>
  <si>
    <t>5.5</t>
  </si>
  <si>
    <t>5.6</t>
  </si>
  <si>
    <t>5.7</t>
  </si>
  <si>
    <t>5.8</t>
  </si>
  <si>
    <t>6.2</t>
  </si>
  <si>
    <t>6.3</t>
  </si>
  <si>
    <t>SINAPI  09/2022</t>
  </si>
  <si>
    <t>SINAPI SET/2022</t>
  </si>
  <si>
    <t>6.4</t>
  </si>
  <si>
    <t>6.5</t>
  </si>
  <si>
    <t>6.6</t>
  </si>
  <si>
    <t>6.7</t>
  </si>
  <si>
    <t>SINAPI 10/2022</t>
  </si>
  <si>
    <t>2.1.1</t>
  </si>
  <si>
    <t>2.1.2</t>
  </si>
  <si>
    <t>2.1.3</t>
  </si>
  <si>
    <t>2.1.4</t>
  </si>
  <si>
    <t>2.1.5</t>
  </si>
  <si>
    <t>2.1.6</t>
  </si>
  <si>
    <t>2.1.7</t>
  </si>
  <si>
    <t>2.1.8</t>
  </si>
  <si>
    <t>2.1.9</t>
  </si>
  <si>
    <t>2.2.1</t>
  </si>
  <si>
    <t>2.2.2</t>
  </si>
  <si>
    <t>2.2.3</t>
  </si>
  <si>
    <t>2.2.4</t>
  </si>
  <si>
    <t>2.2.5</t>
  </si>
  <si>
    <t>2.2.6</t>
  </si>
  <si>
    <t>2.2.7</t>
  </si>
  <si>
    <t>2.2.8</t>
  </si>
  <si>
    <t>2.2.9</t>
  </si>
  <si>
    <t>2.3.1</t>
  </si>
  <si>
    <t>2.4</t>
  </si>
  <si>
    <t>2.4.1</t>
  </si>
  <si>
    <t>2.5</t>
  </si>
  <si>
    <t>2.5.1</t>
  </si>
  <si>
    <t>2.6</t>
  </si>
  <si>
    <t>2.6.1</t>
  </si>
  <si>
    <t>TV. BEIRA RIO</t>
  </si>
  <si>
    <t>DISTRITO INDUSTRIAL</t>
  </si>
  <si>
    <t>RUA MOCAJATUBA</t>
  </si>
  <si>
    <t>EXECUÇÃO DOS SERVIÇOS DE DRENAGEM SUPERFICIAL E DRENAGEM PROFUNDA  NA TRAVESSA BEIRA RIO E RUA MOCAJATUBA - NO DISTRITO INDUSTRIAL  NO MUNICÍPIO DE ANANINDEUA (PA).</t>
  </si>
  <si>
    <r>
      <rPr>
        <b/>
        <sz val="20"/>
        <rFont val="Calibri"/>
        <family val="2"/>
        <scheme val="minor"/>
      </rPr>
      <t xml:space="preserve">
PREFEITURA MUNICIPAL DE ANANINDEUA</t>
    </r>
    <r>
      <rPr>
        <b/>
        <sz val="18"/>
        <rFont val="Calibri"/>
        <family val="2"/>
        <scheme val="minor"/>
      </rPr>
      <t xml:space="preserve">
SECRETARIA DE SANEAMENTO E INFRAESTRUTURA
DEPARTAMENTO DE OBRAS</t>
    </r>
    <r>
      <rPr>
        <b/>
        <sz val="16"/>
        <rFont val="Calibri"/>
        <family val="2"/>
        <scheme val="minor"/>
      </rPr>
      <t xml:space="preserve">
                                                                                                                                                                                                           DATA BASE: SINAPI NOV/2022 E SEDOP SET/2022</t>
    </r>
  </si>
  <si>
    <t>SINAPI 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</si>
</sst>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_(* #,##0.0000_);_(* \(#,##0.0000\);_(* &quot;-&quot;??_);_(@_)"/>
    <numFmt numFmtId="168" formatCode="#,##0.000"/>
    <numFmt numFmtId="169" formatCode="&quot;R$&quot;\ #,##0.00"/>
    <numFmt numFmtId="170" formatCode="0.00000"/>
    <numFmt numFmtId="171" formatCode="0.0000000"/>
    <numFmt numFmtId="172" formatCode="_(* #,##0.00_);_(* \(#,##0.00\);_(* \-??_);_(@_)"/>
    <numFmt numFmtId="173" formatCode="_(* #,##0.00_);_(* \(#,##0.00\);_(* \ ??_);_(@_)"/>
    <numFmt numFmtId="174" formatCode="dd/mm/yy;@"/>
    <numFmt numFmtId="175" formatCode="#."/>
    <numFmt numFmtId="176" formatCode="_-[$R$-416]\ * #,##0.00_-;\-[$R$-416]\ * #,##0.00_-;_-[$R$-416]\ * &quot;-&quot;??_-;_-@_-"/>
    <numFmt numFmtId="177" formatCode="0.000"/>
  </numFmts>
  <fonts count="49" x14ac:knownFonts="1">
    <font>
      <sz val="10"/>
      <name val="Arial"/>
    </font>
    <font>
      <sz val="10"/>
      <name val="Arial"/>
    </font>
    <font>
      <sz val="10"/>
      <name val="Arial"/>
      <family val="2"/>
    </font>
    <font>
      <sz val="9"/>
      <color indexed="81"/>
      <name val="Segoe UI"/>
      <family val="2"/>
    </font>
    <font>
      <b/>
      <sz val="9"/>
      <color indexed="81"/>
      <name val="Segoe UI"/>
      <family val="2"/>
    </font>
    <font>
      <sz val="11"/>
      <name val="Arial"/>
      <family val="2"/>
    </font>
    <font>
      <sz val="10"/>
      <name val="Swis721 Lt BT"/>
      <family val="2"/>
    </font>
    <font>
      <sz val="9"/>
      <name val="Arial"/>
      <family val="2"/>
      <charset val="1"/>
    </font>
    <font>
      <b/>
      <sz val="11"/>
      <color indexed="81"/>
      <name val="Segoe UI"/>
      <family val="2"/>
    </font>
    <font>
      <sz val="11"/>
      <color indexed="81"/>
      <name val="Segoe UI"/>
      <family val="2"/>
    </font>
    <font>
      <sz val="11"/>
      <color indexed="8"/>
      <name val="Calibri"/>
      <family val="2"/>
    </font>
    <font>
      <b/>
      <sz val="20"/>
      <name val="Calibri"/>
      <family val="2"/>
    </font>
    <font>
      <b/>
      <sz val="36"/>
      <color indexed="81"/>
      <name val="Segoe UI"/>
      <family val="2"/>
    </font>
    <font>
      <sz val="36"/>
      <color indexed="81"/>
      <name val="Segoe UI"/>
      <family val="2"/>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b/>
      <sz val="16"/>
      <name val="Calibri"/>
      <family val="2"/>
      <scheme val="minor"/>
    </font>
    <font>
      <sz val="9"/>
      <name val="Calibri"/>
      <family val="2"/>
      <scheme val="minor"/>
    </font>
    <font>
      <b/>
      <sz val="10"/>
      <color theme="1"/>
      <name val="Calibri"/>
      <family val="2"/>
      <scheme val="minor"/>
    </font>
    <font>
      <sz val="14"/>
      <name val="Calibri"/>
      <family val="2"/>
      <scheme val="minor"/>
    </font>
    <font>
      <sz val="10"/>
      <color rgb="FF000000"/>
      <name val="Calibri"/>
      <family val="2"/>
      <scheme val="minor"/>
    </font>
    <font>
      <b/>
      <sz val="18"/>
      <name val="Calibri"/>
      <family val="2"/>
      <scheme val="minor"/>
    </font>
    <font>
      <sz val="11"/>
      <name val="Calibri"/>
      <family val="2"/>
      <scheme val="minor"/>
    </font>
    <font>
      <sz val="14"/>
      <color theme="1"/>
      <name val="Calibri"/>
      <family val="2"/>
      <scheme val="minor"/>
    </font>
    <font>
      <b/>
      <sz val="14"/>
      <color theme="1"/>
      <name val="Calibri"/>
      <family val="2"/>
      <scheme val="minor"/>
    </font>
    <font>
      <sz val="14"/>
      <color indexed="8"/>
      <name val="Calibri"/>
      <family val="2"/>
      <scheme val="minor"/>
    </font>
    <font>
      <b/>
      <sz val="14"/>
      <color indexed="9"/>
      <name val="Calibri"/>
      <family val="2"/>
      <scheme val="minor"/>
    </font>
    <font>
      <b/>
      <sz val="14"/>
      <color indexed="8"/>
      <name val="Calibri"/>
      <family val="2"/>
      <scheme val="minor"/>
    </font>
    <font>
      <b/>
      <sz val="14"/>
      <color indexed="62"/>
      <name val="Calibri"/>
      <family val="2"/>
      <scheme val="minor"/>
    </font>
    <font>
      <b/>
      <sz val="14"/>
      <name val="Calibri"/>
      <family val="2"/>
      <scheme val="minor"/>
    </font>
    <font>
      <sz val="20"/>
      <name val="Calibri"/>
      <family val="2"/>
      <scheme val="minor"/>
    </font>
    <font>
      <sz val="16"/>
      <name val="Calibri"/>
      <family val="2"/>
      <scheme val="minor"/>
    </font>
    <font>
      <b/>
      <sz val="20"/>
      <name val="Calibri"/>
      <family val="2"/>
      <scheme val="minor"/>
    </font>
    <font>
      <b/>
      <sz val="8"/>
      <name val="Calibri"/>
      <family val="2"/>
      <scheme val="minor"/>
    </font>
    <font>
      <b/>
      <sz val="20"/>
      <color indexed="8"/>
      <name val="Calibri"/>
      <family val="2"/>
      <scheme val="minor"/>
    </font>
    <font>
      <sz val="22"/>
      <name val="Calibri"/>
      <family val="2"/>
      <scheme val="minor"/>
    </font>
    <font>
      <sz val="11"/>
      <color rgb="FF000000"/>
      <name val="Calibri"/>
      <family val="2"/>
      <scheme val="minor"/>
    </font>
    <font>
      <sz val="12"/>
      <name val="Calibri"/>
      <family val="2"/>
      <scheme val="minor"/>
    </font>
    <font>
      <b/>
      <sz val="11"/>
      <name val="Calibri"/>
      <family val="2"/>
      <scheme val="minor"/>
    </font>
    <font>
      <b/>
      <sz val="11"/>
      <color rgb="FF000000"/>
      <name val="Calibri"/>
      <family val="2"/>
      <scheme val="minor"/>
    </font>
    <font>
      <b/>
      <sz val="12"/>
      <name val="Calibri"/>
      <family val="2"/>
      <scheme val="minor"/>
    </font>
    <font>
      <b/>
      <sz val="9"/>
      <name val="Calibri"/>
      <family val="2"/>
      <scheme val="minor"/>
    </font>
    <font>
      <b/>
      <sz val="20"/>
      <color indexed="59"/>
      <name val="Calibri"/>
      <family val="2"/>
      <scheme val="minor"/>
    </font>
    <font>
      <b/>
      <sz val="22"/>
      <name val="Calibri"/>
      <family val="2"/>
      <scheme val="minor"/>
    </font>
    <font>
      <b/>
      <sz val="10"/>
      <color rgb="FF000000"/>
      <name val="Calibri"/>
      <family val="2"/>
      <scheme val="minor"/>
    </font>
    <font>
      <b/>
      <sz val="12"/>
      <color theme="1"/>
      <name val="Calibri"/>
      <family val="2"/>
      <scheme val="minor"/>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1" tint="4.9989318521683403E-2"/>
        <bgColor indexed="39"/>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FF0000"/>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FFFF00"/>
        <bgColor indexed="64"/>
      </patternFill>
    </fill>
    <fill>
      <patternFill patternType="solid">
        <fgColor rgb="FFFFFF00"/>
        <bgColor rgb="FF000000"/>
      </patternFill>
    </fill>
    <fill>
      <patternFill patternType="solid">
        <fgColor rgb="FF00B0F0"/>
        <bgColor indexed="64"/>
      </patternFill>
    </fill>
    <fill>
      <patternFill patternType="solid">
        <fgColor theme="0"/>
        <bgColor indexed="39"/>
      </patternFill>
    </fill>
  </fills>
  <borders count="13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style="thin">
        <color indexed="8"/>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thin">
        <color indexed="8"/>
      </left>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medium">
        <color indexed="64"/>
      </left>
      <right/>
      <top/>
      <bottom style="thin">
        <color indexed="8"/>
      </bottom>
      <diagonal/>
    </border>
    <border>
      <left style="thin">
        <color indexed="8"/>
      </left>
      <right style="medium">
        <color indexed="64"/>
      </right>
      <top/>
      <bottom style="thin">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8"/>
      </right>
      <top style="double">
        <color indexed="8"/>
      </top>
      <bottom style="double">
        <color indexed="64"/>
      </bottom>
      <diagonal/>
    </border>
    <border>
      <left style="thin">
        <color indexed="8"/>
      </left>
      <right/>
      <top style="double">
        <color indexed="8"/>
      </top>
      <bottom style="double">
        <color indexed="64"/>
      </bottom>
      <diagonal/>
    </border>
    <border>
      <left/>
      <right/>
      <top style="double">
        <color indexed="8"/>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8"/>
      </top>
      <bottom style="medium">
        <color indexed="8"/>
      </bottom>
      <diagonal/>
    </border>
    <border>
      <left style="thin">
        <color indexed="64"/>
      </left>
      <right style="thin">
        <color indexed="8"/>
      </right>
      <top style="thin">
        <color indexed="8"/>
      </top>
      <bottom style="thin">
        <color indexed="8"/>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8"/>
      </top>
      <bottom style="medium">
        <color indexed="8"/>
      </bottom>
      <diagonal/>
    </border>
    <border>
      <left/>
      <right/>
      <top style="thin">
        <color indexed="8"/>
      </top>
      <bottom style="medium">
        <color indexed="8"/>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8"/>
      </bottom>
      <diagonal/>
    </border>
    <border>
      <left/>
      <right/>
      <top/>
      <bottom style="double">
        <color indexed="8"/>
      </bottom>
      <diagonal/>
    </border>
    <border>
      <left/>
      <right style="medium">
        <color indexed="64"/>
      </right>
      <top/>
      <bottom style="double">
        <color indexed="8"/>
      </bottom>
      <diagonal/>
    </border>
    <border>
      <left/>
      <right style="medium">
        <color indexed="64"/>
      </right>
      <top style="double">
        <color indexed="8"/>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8"/>
      </right>
      <top style="double">
        <color indexed="8"/>
      </top>
      <bottom style="double">
        <color indexed="64"/>
      </bottom>
      <diagonal/>
    </border>
    <border>
      <left style="thin">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64"/>
      </right>
      <top/>
      <bottom style="thin">
        <color indexed="8"/>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1">
    <xf numFmtId="0" fontId="0" fillId="0" borderId="0"/>
    <xf numFmtId="164" fontId="1" fillId="0" borderId="0" applyFont="0" applyFill="0" applyBorder="0" applyAlignment="0" applyProtection="0"/>
    <xf numFmtId="0" fontId="2" fillId="0" borderId="0"/>
    <xf numFmtId="0" fontId="2" fillId="0" borderId="0"/>
    <xf numFmtId="0" fontId="14" fillId="0" borderId="0"/>
    <xf numFmtId="0" fontId="2" fillId="0" borderId="0"/>
    <xf numFmtId="0" fontId="2" fillId="0" borderId="0"/>
    <xf numFmtId="0" fontId="14" fillId="0" borderId="0"/>
    <xf numFmtId="0" fontId="5" fillId="0" borderId="0"/>
    <xf numFmtId="0" fontId="2" fillId="0" borderId="0"/>
    <xf numFmtId="0" fontId="6" fillId="0" borderId="0"/>
    <xf numFmtId="0" fontId="2" fillId="0" borderId="0"/>
    <xf numFmtId="0" fontId="6" fillId="0" borderId="0"/>
    <xf numFmtId="0" fontId="2" fillId="0" borderId="0"/>
    <xf numFmtId="0" fontId="6" fillId="0" borderId="0"/>
    <xf numFmtId="0" fontId="7" fillId="0" borderId="0"/>
    <xf numFmtId="9" fontId="1" fillId="0" borderId="0" applyFont="0" applyFill="0" applyBorder="0" applyAlignment="0" applyProtection="0"/>
    <xf numFmtId="9" fontId="14" fillId="0" borderId="0" applyFont="0" applyFill="0" applyBorder="0" applyAlignment="0" applyProtection="0"/>
    <xf numFmtId="9"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43" fontId="2" fillId="0" borderId="0" applyFont="0" applyFill="0" applyBorder="0" applyAlignment="0" applyProtection="0"/>
    <xf numFmtId="165" fontId="14" fillId="0" borderId="0" applyFont="0" applyFill="0" applyBorder="0" applyAlignment="0" applyProtection="0"/>
    <xf numFmtId="165" fontId="6" fillId="0" borderId="0" applyFont="0" applyFill="0" applyBorder="0" applyAlignment="0" applyProtection="0"/>
    <xf numFmtId="172" fontId="2" fillId="0" borderId="0" applyFill="0" applyBorder="0" applyAlignment="0" applyProtection="0"/>
    <xf numFmtId="165"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cellStyleXfs>
  <cellXfs count="1049">
    <xf numFmtId="0" fontId="0" fillId="0" borderId="0" xfId="0"/>
    <xf numFmtId="0" fontId="16" fillId="0" borderId="0" xfId="0" applyFont="1"/>
    <xf numFmtId="0" fontId="16" fillId="0" borderId="0" xfId="0" applyFont="1" applyAlignment="1">
      <alignment vertical="center"/>
    </xf>
    <xf numFmtId="0" fontId="16" fillId="0" borderId="1" xfId="0" applyFont="1" applyBorder="1" applyAlignment="1">
      <alignment horizontal="center"/>
    </xf>
    <xf numFmtId="49" fontId="16" fillId="0" borderId="2" xfId="12" applyNumberFormat="1" applyFont="1" applyFill="1" applyBorder="1" applyAlignment="1">
      <alignment horizontal="center" vertical="center"/>
    </xf>
    <xf numFmtId="166" fontId="16" fillId="0" borderId="2" xfId="12" applyNumberFormat="1" applyFont="1" applyFill="1" applyBorder="1" applyAlignment="1">
      <alignment horizontal="center" vertical="center"/>
    </xf>
    <xf numFmtId="165" fontId="17" fillId="0" borderId="2" xfId="24" applyNumberFormat="1" applyFont="1" applyFill="1" applyBorder="1" applyAlignment="1">
      <alignment horizontal="center" vertical="center"/>
    </xf>
    <xf numFmtId="0" fontId="16" fillId="0" borderId="2" xfId="12" quotePrefix="1" applyNumberFormat="1" applyFont="1" applyFill="1" applyBorder="1" applyAlignment="1">
      <alignment horizontal="center" vertical="center"/>
    </xf>
    <xf numFmtId="0" fontId="16" fillId="0" borderId="2" xfId="12" applyFont="1" applyFill="1" applyBorder="1" applyAlignment="1">
      <alignment horizontal="center" vertical="center"/>
    </xf>
    <xf numFmtId="0" fontId="17" fillId="0" borderId="2" xfId="12" applyFont="1" applyFill="1" applyBorder="1" applyAlignment="1">
      <alignment horizontal="center" vertical="center"/>
    </xf>
    <xf numFmtId="165" fontId="17" fillId="0" borderId="2" xfId="12" applyNumberFormat="1" applyFont="1" applyFill="1" applyBorder="1" applyAlignment="1">
      <alignment horizontal="center" vertical="center"/>
    </xf>
    <xf numFmtId="165" fontId="16" fillId="0" borderId="3" xfId="10" applyNumberFormat="1" applyFont="1" applyFill="1" applyBorder="1" applyAlignment="1">
      <alignment vertical="center"/>
    </xf>
    <xf numFmtId="165" fontId="16" fillId="0" borderId="4" xfId="10" applyNumberFormat="1" applyFont="1" applyFill="1" applyBorder="1" applyAlignment="1">
      <alignment vertical="center"/>
    </xf>
    <xf numFmtId="165" fontId="16" fillId="0" borderId="0" xfId="12" quotePrefix="1" applyNumberFormat="1" applyFont="1" applyFill="1" applyBorder="1" applyAlignment="1">
      <alignment horizontal="center" vertical="center"/>
    </xf>
    <xf numFmtId="165" fontId="18" fillId="0" borderId="0" xfId="12" applyNumberFormat="1" applyFont="1" applyFill="1" applyBorder="1" applyAlignment="1">
      <alignment horizontal="left" vertical="center"/>
    </xf>
    <xf numFmtId="165" fontId="18" fillId="0" borderId="0" xfId="13" applyNumberFormat="1" applyFont="1" applyFill="1" applyBorder="1" applyAlignment="1">
      <alignment horizontal="center" vertical="center"/>
    </xf>
    <xf numFmtId="0" fontId="16" fillId="0" borderId="1" xfId="12" applyNumberFormat="1" applyFont="1" applyFill="1" applyBorder="1" applyAlignment="1">
      <alignment horizontal="center" vertical="center"/>
    </xf>
    <xf numFmtId="165" fontId="17" fillId="0" borderId="5" xfId="24" applyNumberFormat="1" applyFont="1" applyFill="1" applyBorder="1" applyAlignment="1">
      <alignment horizontal="center" vertical="center"/>
    </xf>
    <xf numFmtId="165" fontId="16" fillId="0" borderId="1" xfId="12" applyNumberFormat="1" applyFont="1" applyFill="1" applyBorder="1" applyAlignment="1">
      <alignment horizontal="center" vertical="center"/>
    </xf>
    <xf numFmtId="165" fontId="16" fillId="0" borderId="5" xfId="12" applyNumberFormat="1" applyFont="1" applyFill="1" applyBorder="1" applyAlignment="1">
      <alignment horizontal="center" vertical="center"/>
    </xf>
    <xf numFmtId="0" fontId="16" fillId="0" borderId="2" xfId="12" applyFont="1" applyFill="1" applyBorder="1" applyAlignment="1">
      <alignment horizontal="justify" vertical="center"/>
    </xf>
    <xf numFmtId="165" fontId="16" fillId="0" borderId="0" xfId="12" applyNumberFormat="1" applyFont="1" applyFill="1" applyBorder="1" applyAlignment="1">
      <alignment horizontal="center" vertical="center"/>
    </xf>
    <xf numFmtId="167" fontId="17" fillId="0" borderId="0" xfId="24" applyNumberFormat="1" applyFont="1" applyFill="1" applyBorder="1" applyAlignment="1">
      <alignment horizontal="center" vertical="center"/>
    </xf>
    <xf numFmtId="165" fontId="16" fillId="0" borderId="2" xfId="12" applyNumberFormat="1" applyFont="1" applyFill="1" applyBorder="1" applyAlignment="1">
      <alignment horizontal="center" vertical="center"/>
    </xf>
    <xf numFmtId="165" fontId="18" fillId="0" borderId="5" xfId="12" applyNumberFormat="1" applyFont="1" applyFill="1" applyBorder="1" applyAlignment="1">
      <alignment horizontal="center" vertical="center"/>
    </xf>
    <xf numFmtId="0" fontId="19" fillId="0" borderId="0" xfId="0" applyFont="1" applyAlignment="1">
      <alignment horizontal="center" vertical="center"/>
    </xf>
    <xf numFmtId="0" fontId="19" fillId="0" borderId="0" xfId="0" applyFont="1" applyFill="1" applyBorder="1" applyAlignment="1">
      <alignment horizontal="center" vertical="center"/>
    </xf>
    <xf numFmtId="0" fontId="17" fillId="7" borderId="9" xfId="0" applyFont="1" applyFill="1" applyBorder="1"/>
    <xf numFmtId="0" fontId="17" fillId="7" borderId="10" xfId="0" applyFont="1" applyFill="1" applyBorder="1"/>
    <xf numFmtId="0" fontId="17" fillId="7" borderId="11" xfId="0" applyFont="1" applyFill="1" applyBorder="1"/>
    <xf numFmtId="0" fontId="17" fillId="0" borderId="0" xfId="0" applyFont="1" applyAlignment="1">
      <alignment horizontal="center" vertical="center"/>
    </xf>
    <xf numFmtId="0" fontId="17" fillId="0" borderId="0" xfId="0" applyFont="1"/>
    <xf numFmtId="165" fontId="17" fillId="0" borderId="0" xfId="0" applyNumberFormat="1" applyFont="1" applyAlignment="1">
      <alignment vertical="center"/>
    </xf>
    <xf numFmtId="0" fontId="17" fillId="0" borderId="0" xfId="0" applyFont="1" applyAlignment="1">
      <alignment vertical="center"/>
    </xf>
    <xf numFmtId="0" fontId="16" fillId="0" borderId="2" xfId="12" applyFont="1" applyFill="1" applyBorder="1" applyAlignment="1">
      <alignment horizontal="justify" vertical="top" wrapText="1"/>
    </xf>
    <xf numFmtId="0" fontId="20" fillId="0" borderId="0" xfId="0" applyFont="1"/>
    <xf numFmtId="0" fontId="22" fillId="0" borderId="0" xfId="0" applyFont="1" applyAlignment="1">
      <alignment vertical="center"/>
    </xf>
    <xf numFmtId="0" fontId="16" fillId="0" borderId="0" xfId="6" applyFont="1" applyAlignment="1">
      <alignment vertical="center"/>
    </xf>
    <xf numFmtId="0" fontId="23" fillId="8" borderId="0" xfId="0" applyFont="1" applyFill="1" applyAlignment="1">
      <alignment vertical="center"/>
    </xf>
    <xf numFmtId="0" fontId="18" fillId="0" borderId="12" xfId="0" applyFont="1" applyFill="1" applyBorder="1" applyAlignment="1">
      <alignment horizontal="center" vertical="center"/>
    </xf>
    <xf numFmtId="0" fontId="18" fillId="0" borderId="0" xfId="0" applyFont="1" applyFill="1" applyBorder="1" applyAlignment="1">
      <alignment horizontal="centerContinuous"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16" fillId="0" borderId="14" xfId="0" applyNumberFormat="1" applyFont="1" applyFill="1" applyBorder="1" applyAlignment="1">
      <alignment horizontal="right" vertical="center"/>
    </xf>
    <xf numFmtId="0" fontId="16" fillId="0" borderId="15" xfId="0" applyFont="1" applyFill="1" applyBorder="1" applyAlignment="1">
      <alignment vertical="center"/>
    </xf>
    <xf numFmtId="4" fontId="16" fillId="0" borderId="16" xfId="0" applyNumberFormat="1" applyFont="1" applyFill="1" applyBorder="1" applyAlignment="1">
      <alignment horizontal="right" vertical="center"/>
    </xf>
    <xf numFmtId="0" fontId="16" fillId="0" borderId="17" xfId="0" applyFont="1" applyFill="1" applyBorder="1" applyAlignment="1">
      <alignment horizontal="center" vertical="center"/>
    </xf>
    <xf numFmtId="0" fontId="16" fillId="0" borderId="15" xfId="0" applyFont="1" applyFill="1" applyBorder="1" applyAlignment="1">
      <alignment horizontal="center" vertical="center"/>
    </xf>
    <xf numFmtId="0" fontId="18" fillId="5" borderId="18" xfId="0" applyFont="1" applyFill="1" applyBorder="1" applyAlignment="1">
      <alignment vertical="center"/>
    </xf>
    <xf numFmtId="0" fontId="18" fillId="5" borderId="19" xfId="0" applyFont="1" applyFill="1" applyBorder="1" applyAlignment="1">
      <alignment vertical="center"/>
    </xf>
    <xf numFmtId="0" fontId="18" fillId="5" borderId="20" xfId="0" applyFont="1" applyFill="1" applyBorder="1" applyAlignment="1">
      <alignment vertical="center"/>
    </xf>
    <xf numFmtId="4" fontId="18" fillId="5" borderId="21" xfId="0" applyNumberFormat="1" applyFont="1" applyFill="1" applyBorder="1" applyAlignment="1">
      <alignment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4" xfId="0" applyFont="1" applyFill="1" applyBorder="1" applyAlignment="1">
      <alignment vertical="center"/>
    </xf>
    <xf numFmtId="0" fontId="18" fillId="0" borderId="22" xfId="0" applyFont="1" applyFill="1" applyBorder="1" applyAlignment="1">
      <alignment horizontal="centerContinuous" vertical="center"/>
    </xf>
    <xf numFmtId="0" fontId="18" fillId="0" borderId="16" xfId="0" applyFont="1" applyFill="1" applyBorder="1" applyAlignment="1">
      <alignment horizontal="centerContinuous" vertical="center"/>
    </xf>
    <xf numFmtId="0" fontId="16" fillId="0" borderId="23" xfId="0" applyFont="1" applyFill="1" applyBorder="1" applyAlignment="1">
      <alignment horizontal="center" vertical="center"/>
    </xf>
    <xf numFmtId="0" fontId="16" fillId="0" borderId="24" xfId="0" applyFont="1" applyFill="1" applyBorder="1" applyAlignment="1">
      <alignment vertical="center"/>
    </xf>
    <xf numFmtId="0" fontId="16" fillId="0" borderId="25" xfId="0" applyFont="1" applyFill="1" applyBorder="1" applyAlignment="1">
      <alignment vertical="center"/>
    </xf>
    <xf numFmtId="0" fontId="16" fillId="0" borderId="26" xfId="0" applyFont="1" applyFill="1" applyBorder="1" applyAlignment="1">
      <alignment horizontal="center" vertical="center"/>
    </xf>
    <xf numFmtId="0" fontId="18" fillId="5" borderId="27" xfId="0" applyFont="1" applyFill="1" applyBorder="1" applyAlignment="1">
      <alignment vertical="center"/>
    </xf>
    <xf numFmtId="2" fontId="18" fillId="5" borderId="27" xfId="0" applyNumberFormat="1" applyFont="1" applyFill="1" applyBorder="1" applyAlignment="1">
      <alignment vertical="center"/>
    </xf>
    <xf numFmtId="0" fontId="16" fillId="0" borderId="17" xfId="0" applyFont="1" applyFill="1" applyBorder="1" applyAlignment="1">
      <alignment vertical="center"/>
    </xf>
    <xf numFmtId="4" fontId="16" fillId="0" borderId="28" xfId="0" applyNumberFormat="1" applyFont="1" applyFill="1" applyBorder="1" applyAlignment="1">
      <alignment vertical="center"/>
    </xf>
    <xf numFmtId="0" fontId="18" fillId="0" borderId="29" xfId="0" applyFont="1" applyFill="1" applyBorder="1" applyAlignment="1">
      <alignment horizontal="center" vertical="center"/>
    </xf>
    <xf numFmtId="10" fontId="18" fillId="0" borderId="15" xfId="0" applyNumberFormat="1" applyFont="1" applyFill="1" applyBorder="1" applyAlignment="1">
      <alignment horizontal="centerContinuous" vertical="center"/>
    </xf>
    <xf numFmtId="0" fontId="18" fillId="0" borderId="15" xfId="0" applyFont="1" applyFill="1" applyBorder="1" applyAlignment="1">
      <alignment vertical="center"/>
    </xf>
    <xf numFmtId="10" fontId="18" fillId="0" borderId="15" xfId="0" applyNumberFormat="1" applyFont="1" applyFill="1" applyBorder="1" applyAlignment="1">
      <alignment vertical="center"/>
    </xf>
    <xf numFmtId="4" fontId="16" fillId="0" borderId="30" xfId="0" applyNumberFormat="1" applyFont="1" applyFill="1" applyBorder="1" applyAlignment="1">
      <alignment vertical="center"/>
    </xf>
    <xf numFmtId="0" fontId="2" fillId="0" borderId="0" xfId="0" applyFont="1"/>
    <xf numFmtId="0" fontId="17" fillId="0" borderId="0" xfId="0" applyFont="1" applyBorder="1" applyAlignment="1">
      <alignment vertical="center"/>
    </xf>
    <xf numFmtId="0" fontId="17" fillId="0" borderId="0" xfId="0" applyFont="1" applyBorder="1"/>
    <xf numFmtId="0" fontId="18" fillId="0" borderId="1" xfId="0" applyFont="1" applyBorder="1" applyAlignment="1">
      <alignment horizontal="center"/>
    </xf>
    <xf numFmtId="0" fontId="18" fillId="0" borderId="5" xfId="0" applyFont="1" applyBorder="1" applyAlignment="1">
      <alignment horizontal="center"/>
    </xf>
    <xf numFmtId="0" fontId="18" fillId="0" borderId="34" xfId="0" applyFont="1" applyBorder="1" applyAlignment="1">
      <alignment horizontal="center"/>
    </xf>
    <xf numFmtId="10" fontId="16" fillId="0" borderId="1" xfId="18" applyNumberFormat="1" applyFont="1" applyFill="1" applyBorder="1" applyAlignment="1" applyProtection="1">
      <alignment horizontal="right" vertical="center"/>
    </xf>
    <xf numFmtId="173" fontId="16" fillId="0" borderId="5" xfId="25" applyNumberFormat="1" applyFont="1" applyFill="1" applyBorder="1" applyAlignment="1" applyProtection="1">
      <alignment horizontal="right" vertical="center"/>
    </xf>
    <xf numFmtId="10" fontId="16" fillId="0" borderId="34" xfId="18" applyNumberFormat="1" applyFont="1" applyFill="1" applyBorder="1" applyAlignment="1" applyProtection="1">
      <alignment horizontal="right" vertical="center"/>
    </xf>
    <xf numFmtId="10" fontId="16" fillId="0" borderId="34" xfId="17" applyNumberFormat="1" applyFont="1" applyFill="1" applyBorder="1" applyAlignment="1" applyProtection="1">
      <alignment horizontal="right" vertical="center"/>
    </xf>
    <xf numFmtId="10" fontId="17" fillId="0" borderId="0" xfId="0" applyNumberFormat="1" applyFont="1"/>
    <xf numFmtId="10" fontId="16" fillId="0" borderId="1" xfId="18" applyNumberFormat="1" applyFont="1" applyFill="1" applyBorder="1" applyAlignment="1" applyProtection="1">
      <alignment horizontal="right"/>
    </xf>
    <xf numFmtId="173" fontId="16" fillId="0" borderId="5" xfId="25" applyNumberFormat="1" applyFont="1" applyFill="1" applyBorder="1" applyAlignment="1" applyProtection="1">
      <alignment horizontal="right"/>
    </xf>
    <xf numFmtId="10" fontId="16" fillId="0" borderId="34" xfId="17" applyNumberFormat="1" applyFont="1" applyFill="1" applyBorder="1" applyAlignment="1" applyProtection="1">
      <alignment horizontal="right"/>
    </xf>
    <xf numFmtId="0" fontId="17" fillId="0" borderId="1" xfId="0" applyFont="1" applyBorder="1" applyAlignment="1">
      <alignment horizontal="center" vertical="center"/>
    </xf>
    <xf numFmtId="0" fontId="17" fillId="0" borderId="2" xfId="0" applyFont="1" applyBorder="1" applyAlignment="1">
      <alignment horizontal="center" vertical="center"/>
    </xf>
    <xf numFmtId="10" fontId="17" fillId="0" borderId="2" xfId="18" applyNumberFormat="1" applyFont="1" applyFill="1" applyBorder="1" applyAlignment="1" applyProtection="1">
      <alignment horizontal="center" vertical="center"/>
    </xf>
    <xf numFmtId="172" fontId="17" fillId="0" borderId="5" xfId="25" applyFont="1" applyFill="1" applyBorder="1" applyAlignment="1" applyProtection="1">
      <alignment horizontal="center" vertical="center"/>
    </xf>
    <xf numFmtId="0" fontId="16" fillId="0" borderId="5" xfId="0" applyFont="1" applyBorder="1" applyAlignment="1">
      <alignment horizontal="center"/>
    </xf>
    <xf numFmtId="0" fontId="16" fillId="0" borderId="34" xfId="0" applyFont="1" applyBorder="1" applyAlignment="1">
      <alignment horizontal="center"/>
    </xf>
    <xf numFmtId="10" fontId="18" fillId="0" borderId="1" xfId="18" applyNumberFormat="1" applyFont="1" applyFill="1" applyBorder="1" applyAlignment="1" applyProtection="1">
      <alignment horizontal="center" vertical="center"/>
    </xf>
    <xf numFmtId="10" fontId="18" fillId="0" borderId="34" xfId="17" applyNumberFormat="1" applyFont="1" applyFill="1" applyBorder="1" applyAlignment="1" applyProtection="1">
      <alignment horizontal="center" vertical="center"/>
    </xf>
    <xf numFmtId="0" fontId="18" fillId="0" borderId="35" xfId="0" applyFont="1" applyBorder="1" applyAlignment="1">
      <alignment horizontal="center" wrapText="1"/>
    </xf>
    <xf numFmtId="0" fontId="18" fillId="0" borderId="0" xfId="0" applyFont="1" applyBorder="1" applyAlignment="1">
      <alignment horizontal="center" wrapText="1"/>
    </xf>
    <xf numFmtId="0" fontId="18" fillId="0" borderId="36" xfId="0" applyFont="1" applyBorder="1" applyAlignment="1">
      <alignment horizontal="center" wrapText="1"/>
    </xf>
    <xf numFmtId="0" fontId="18" fillId="0" borderId="2" xfId="0" applyFont="1" applyBorder="1" applyAlignment="1">
      <alignment horizontal="center" vertical="center"/>
    </xf>
    <xf numFmtId="172" fontId="18" fillId="0" borderId="5" xfId="25" applyFont="1" applyFill="1" applyBorder="1" applyAlignment="1" applyProtection="1">
      <alignment horizontal="center" vertical="center"/>
    </xf>
    <xf numFmtId="0" fontId="18" fillId="0" borderId="7" xfId="0" applyFont="1" applyBorder="1" applyAlignment="1">
      <alignment horizontal="center" vertical="center"/>
    </xf>
    <xf numFmtId="10" fontId="18" fillId="0" borderId="6" xfId="18" applyNumberFormat="1" applyFont="1" applyFill="1" applyBorder="1" applyAlignment="1" applyProtection="1">
      <alignment horizontal="center" vertical="center"/>
    </xf>
    <xf numFmtId="172" fontId="18" fillId="0" borderId="8" xfId="25" applyFont="1" applyFill="1" applyBorder="1" applyAlignment="1" applyProtection="1">
      <alignment horizontal="center" vertical="center"/>
    </xf>
    <xf numFmtId="10" fontId="18" fillId="0" borderId="37" xfId="17" applyNumberFormat="1" applyFont="1" applyFill="1" applyBorder="1" applyAlignment="1" applyProtection="1">
      <alignment horizontal="center" vertical="center"/>
    </xf>
    <xf numFmtId="172" fontId="18" fillId="0" borderId="8" xfId="25" applyFont="1" applyFill="1" applyBorder="1" applyAlignment="1" applyProtection="1">
      <alignment horizontal="center" vertical="center"/>
    </xf>
    <xf numFmtId="0" fontId="18" fillId="0" borderId="38" xfId="0" applyFont="1" applyFill="1" applyBorder="1" applyAlignment="1">
      <alignment horizontal="left" vertical="center"/>
    </xf>
    <xf numFmtId="0" fontId="16" fillId="0" borderId="22" xfId="0" applyFont="1" applyFill="1" applyBorder="1" applyAlignment="1">
      <alignment horizontal="left" vertical="center" wrapText="1"/>
    </xf>
    <xf numFmtId="0" fontId="20" fillId="7" borderId="39"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36" xfId="0" applyFont="1" applyFill="1" applyBorder="1" applyAlignment="1">
      <alignment horizontal="centerContinuous" vertical="center"/>
    </xf>
    <xf numFmtId="2" fontId="16" fillId="0" borderId="26" xfId="0" applyNumberFormat="1" applyFont="1" applyFill="1" applyBorder="1" applyAlignment="1">
      <alignment horizontal="right" vertical="center"/>
    </xf>
    <xf numFmtId="4" fontId="16" fillId="0" borderId="26" xfId="0" applyNumberFormat="1" applyFont="1" applyFill="1" applyBorder="1" applyAlignment="1">
      <alignment horizontal="right" vertical="center"/>
    </xf>
    <xf numFmtId="0" fontId="16" fillId="0" borderId="24" xfId="0" applyFont="1" applyFill="1" applyBorder="1" applyAlignment="1">
      <alignment vertical="top" wrapText="1"/>
    </xf>
    <xf numFmtId="173" fontId="16" fillId="9" borderId="1" xfId="25" applyNumberFormat="1" applyFont="1" applyFill="1" applyBorder="1" applyAlignment="1" applyProtection="1">
      <alignment horizontal="right" vertical="center"/>
    </xf>
    <xf numFmtId="173" fontId="16" fillId="9" borderId="5" xfId="25" applyNumberFormat="1" applyFont="1" applyFill="1" applyBorder="1" applyAlignment="1" applyProtection="1">
      <alignment horizontal="right" vertical="center"/>
    </xf>
    <xf numFmtId="10" fontId="16" fillId="9" borderId="34" xfId="17" applyNumberFormat="1" applyFont="1" applyFill="1" applyBorder="1" applyAlignment="1" applyProtection="1">
      <alignment horizontal="right" vertical="center"/>
    </xf>
    <xf numFmtId="173" fontId="16" fillId="9" borderId="34" xfId="25" applyNumberFormat="1" applyFont="1" applyFill="1" applyBorder="1" applyAlignment="1" applyProtection="1">
      <alignment horizontal="right" vertical="center"/>
    </xf>
    <xf numFmtId="10" fontId="16" fillId="10" borderId="34" xfId="17" applyNumberFormat="1" applyFont="1" applyFill="1" applyBorder="1" applyAlignment="1" applyProtection="1">
      <alignment horizontal="right"/>
    </xf>
    <xf numFmtId="173" fontId="16" fillId="10" borderId="5" xfId="25" applyNumberFormat="1" applyFont="1" applyFill="1" applyBorder="1" applyAlignment="1" applyProtection="1">
      <alignment horizontal="right"/>
    </xf>
    <xf numFmtId="165" fontId="17" fillId="0" borderId="3" xfId="12" applyNumberFormat="1" applyFont="1" applyFill="1" applyBorder="1" applyAlignment="1">
      <alignment horizontal="center" vertical="center"/>
    </xf>
    <xf numFmtId="165" fontId="16" fillId="0" borderId="35" xfId="12" quotePrefix="1" applyNumberFormat="1" applyFont="1" applyFill="1" applyBorder="1" applyAlignment="1">
      <alignment horizontal="center" vertical="center"/>
    </xf>
    <xf numFmtId="165" fontId="18" fillId="0" borderId="36" xfId="13" applyNumberFormat="1" applyFont="1" applyFill="1" applyBorder="1" applyAlignment="1">
      <alignment horizontal="center" vertical="center"/>
    </xf>
    <xf numFmtId="0" fontId="24" fillId="7" borderId="35" xfId="0" applyFont="1" applyFill="1" applyBorder="1" applyAlignment="1" applyProtection="1">
      <alignment vertical="center"/>
      <protection locked="0"/>
    </xf>
    <xf numFmtId="0" fontId="24" fillId="7" borderId="36" xfId="0" applyFont="1" applyFill="1" applyBorder="1" applyAlignment="1" applyProtection="1">
      <alignment vertical="center"/>
      <protection locked="0"/>
    </xf>
    <xf numFmtId="174" fontId="25" fillId="7" borderId="39" xfId="15" applyNumberFormat="1" applyFont="1" applyFill="1" applyBorder="1" applyAlignment="1" applyProtection="1">
      <alignment horizontal="center" vertical="center"/>
      <protection locked="0"/>
    </xf>
    <xf numFmtId="0" fontId="16" fillId="0" borderId="0" xfId="9" applyFont="1"/>
    <xf numFmtId="170" fontId="16" fillId="0" borderId="14" xfId="0" applyNumberFormat="1" applyFont="1" applyFill="1" applyBorder="1" applyAlignment="1">
      <alignment horizontal="right" vertical="center"/>
    </xf>
    <xf numFmtId="0" fontId="16" fillId="0" borderId="24" xfId="0" applyFont="1" applyFill="1" applyBorder="1" applyAlignment="1">
      <alignment vertical="center" wrapText="1"/>
    </xf>
    <xf numFmtId="166" fontId="16" fillId="0" borderId="26" xfId="0" applyNumberFormat="1" applyFont="1" applyFill="1" applyBorder="1" applyAlignment="1">
      <alignment horizontal="righ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xf numFmtId="0" fontId="27" fillId="11" borderId="2" xfId="0" applyFont="1" applyFill="1" applyBorder="1" applyAlignment="1">
      <alignment horizontal="center" vertical="center"/>
    </xf>
    <xf numFmtId="0" fontId="27" fillId="11" borderId="5" xfId="0" applyFont="1" applyFill="1" applyBorder="1" applyAlignment="1">
      <alignment horizontal="center" vertical="center"/>
    </xf>
    <xf numFmtId="0" fontId="26" fillId="0" borderId="0" xfId="0" applyFont="1" applyBorder="1" applyAlignment="1">
      <alignment vertical="center"/>
    </xf>
    <xf numFmtId="0" fontId="26" fillId="0" borderId="36" xfId="0" applyFont="1" applyBorder="1" applyAlignment="1">
      <alignment vertical="center"/>
    </xf>
    <xf numFmtId="0" fontId="26" fillId="0" borderId="1" xfId="0" applyFont="1" applyBorder="1" applyAlignment="1">
      <alignment horizontal="center" vertical="center"/>
    </xf>
    <xf numFmtId="0" fontId="26" fillId="0" borderId="2" xfId="0" applyFont="1" applyBorder="1" applyAlignment="1">
      <alignment vertical="center"/>
    </xf>
    <xf numFmtId="43" fontId="26" fillId="0" borderId="2" xfId="27" applyFont="1" applyBorder="1" applyAlignment="1">
      <alignment vertical="center"/>
    </xf>
    <xf numFmtId="43" fontId="26" fillId="0" borderId="5" xfId="27" applyFont="1" applyBorder="1" applyAlignment="1">
      <alignment vertical="center"/>
    </xf>
    <xf numFmtId="0" fontId="27" fillId="0" borderId="1" xfId="0" applyFont="1" applyBorder="1" applyAlignment="1">
      <alignment horizontal="center" vertical="center"/>
    </xf>
    <xf numFmtId="0" fontId="27" fillId="0" borderId="2" xfId="0" applyFont="1" applyBorder="1" applyAlignment="1">
      <alignment vertical="center"/>
    </xf>
    <xf numFmtId="165" fontId="27" fillId="0" borderId="2" xfId="0" applyNumberFormat="1" applyFont="1" applyBorder="1" applyAlignment="1">
      <alignment vertical="center"/>
    </xf>
    <xf numFmtId="165" fontId="27" fillId="0" borderId="5" xfId="0" applyNumberFormat="1" applyFont="1" applyBorder="1" applyAlignment="1">
      <alignment vertical="center"/>
    </xf>
    <xf numFmtId="0" fontId="26" fillId="0" borderId="2" xfId="0" applyFont="1" applyBorder="1" applyAlignment="1">
      <alignment vertical="center" wrapText="1"/>
    </xf>
    <xf numFmtId="165" fontId="26" fillId="0" borderId="2" xfId="0" applyNumberFormat="1" applyFont="1" applyBorder="1" applyAlignment="1">
      <alignment vertical="center"/>
    </xf>
    <xf numFmtId="165" fontId="26" fillId="0" borderId="5" xfId="0" applyNumberFormat="1" applyFont="1" applyBorder="1" applyAlignment="1">
      <alignment vertical="center"/>
    </xf>
    <xf numFmtId="0" fontId="27" fillId="0" borderId="6" xfId="0" applyFont="1" applyBorder="1" applyAlignment="1">
      <alignment horizontal="center" vertical="center"/>
    </xf>
    <xf numFmtId="0" fontId="27" fillId="0" borderId="7" xfId="0" applyFont="1" applyBorder="1" applyAlignment="1">
      <alignment vertical="center"/>
    </xf>
    <xf numFmtId="165" fontId="27" fillId="0" borderId="7" xfId="0" applyNumberFormat="1" applyFont="1" applyBorder="1" applyAlignment="1">
      <alignment vertical="center"/>
    </xf>
    <xf numFmtId="165" fontId="27" fillId="0" borderId="8" xfId="0" applyNumberFormat="1" applyFont="1" applyBorder="1" applyAlignment="1">
      <alignment vertical="center"/>
    </xf>
    <xf numFmtId="0" fontId="26" fillId="0" borderId="5" xfId="0" applyFont="1" applyBorder="1" applyAlignment="1">
      <alignment vertical="center"/>
    </xf>
    <xf numFmtId="165" fontId="27" fillId="5" borderId="7" xfId="0" applyNumberFormat="1" applyFont="1" applyFill="1" applyBorder="1" applyAlignment="1">
      <alignment vertical="center"/>
    </xf>
    <xf numFmtId="165" fontId="27" fillId="5" borderId="8" xfId="0" applyNumberFormat="1" applyFont="1" applyFill="1" applyBorder="1" applyAlignment="1">
      <alignment vertical="center"/>
    </xf>
    <xf numFmtId="0" fontId="24" fillId="0" borderId="0" xfId="0" applyFont="1" applyAlignment="1" applyProtection="1">
      <alignment horizontal="center" vertical="center"/>
      <protection locked="0"/>
    </xf>
    <xf numFmtId="0" fontId="24" fillId="7" borderId="0" xfId="0" applyFont="1" applyFill="1" applyAlignment="1" applyProtection="1">
      <alignment vertical="center"/>
      <protection locked="0"/>
    </xf>
    <xf numFmtId="0" fontId="24" fillId="0" borderId="0" xfId="0" applyFont="1" applyAlignment="1" applyProtection="1">
      <alignment vertical="center"/>
      <protection locked="0"/>
    </xf>
    <xf numFmtId="2" fontId="25" fillId="0" borderId="0" xfId="15" applyNumberFormat="1" applyFont="1" applyAlignment="1" applyProtection="1">
      <alignment horizontal="left" vertical="center" wrapText="1"/>
      <protection locked="0"/>
    </xf>
    <xf numFmtId="0" fontId="14" fillId="0" borderId="0" xfId="0" applyFont="1"/>
    <xf numFmtId="2" fontId="25" fillId="0" borderId="0" xfId="15" applyNumberFormat="1" applyFont="1" applyAlignment="1" applyProtection="1">
      <alignment horizontal="left" vertical="center"/>
      <protection locked="0"/>
    </xf>
    <xf numFmtId="169" fontId="25" fillId="0" borderId="0" xfId="0" applyNumberFormat="1" applyFont="1" applyAlignment="1" applyProtection="1">
      <alignment horizontal="center" vertical="center"/>
      <protection locked="0"/>
    </xf>
    <xf numFmtId="0" fontId="16" fillId="0" borderId="0" xfId="9" applyFont="1" applyAlignment="1">
      <alignment vertical="center"/>
    </xf>
    <xf numFmtId="0" fontId="28" fillId="0" borderId="42" xfId="0" applyFont="1" applyBorder="1" applyAlignment="1">
      <alignment vertical="center" wrapText="1"/>
    </xf>
    <xf numFmtId="0" fontId="28" fillId="0" borderId="43" xfId="0" applyFont="1" applyBorder="1" applyAlignment="1">
      <alignment vertical="center" wrapText="1"/>
    </xf>
    <xf numFmtId="0" fontId="28" fillId="0" borderId="44" xfId="0" applyFont="1" applyBorder="1" applyAlignment="1">
      <alignment vertical="center" wrapText="1"/>
    </xf>
    <xf numFmtId="0" fontId="29" fillId="4" borderId="45" xfId="0" applyFont="1" applyFill="1" applyBorder="1" applyAlignment="1">
      <alignment horizontal="center" vertical="center" wrapText="1"/>
    </xf>
    <xf numFmtId="0" fontId="30" fillId="0" borderId="46" xfId="0" applyFont="1" applyBorder="1" applyAlignment="1">
      <alignment horizontal="center" vertical="center"/>
    </xf>
    <xf numFmtId="0" fontId="30" fillId="0" borderId="47" xfId="0" applyFont="1" applyBorder="1" applyAlignment="1">
      <alignment vertical="center"/>
    </xf>
    <xf numFmtId="0" fontId="30" fillId="0" borderId="48" xfId="0" applyFont="1" applyBorder="1" applyAlignment="1">
      <alignment vertical="center"/>
    </xf>
    <xf numFmtId="0" fontId="30" fillId="0" borderId="49" xfId="0" applyFont="1" applyBorder="1" applyAlignment="1">
      <alignment vertical="center"/>
    </xf>
    <xf numFmtId="2" fontId="28" fillId="0" borderId="50" xfId="0" applyNumberFormat="1" applyFont="1" applyBorder="1" applyAlignment="1">
      <alignment horizontal="center" vertical="center"/>
    </xf>
    <xf numFmtId="0" fontId="28" fillId="0" borderId="1" xfId="0" applyFont="1" applyBorder="1" applyAlignment="1">
      <alignment horizontal="center" vertical="center"/>
    </xf>
    <xf numFmtId="0" fontId="30" fillId="0" borderId="3" xfId="0" applyFont="1" applyBorder="1" applyAlignment="1">
      <alignment vertical="center"/>
    </xf>
    <xf numFmtId="0" fontId="30" fillId="0" borderId="4" xfId="0" applyFont="1" applyBorder="1" applyAlignment="1">
      <alignment vertical="center"/>
    </xf>
    <xf numFmtId="0" fontId="30" fillId="0" borderId="34" xfId="0" applyFont="1" applyBorder="1" applyAlignment="1">
      <alignment vertical="center"/>
    </xf>
    <xf numFmtId="2" fontId="28" fillId="0" borderId="5" xfId="0" applyNumberFormat="1" applyFont="1" applyBorder="1" applyAlignment="1">
      <alignment horizontal="center" vertical="center"/>
    </xf>
    <xf numFmtId="0" fontId="30" fillId="2" borderId="51" xfId="0" applyFont="1" applyFill="1" applyBorder="1" applyAlignment="1">
      <alignment vertical="center"/>
    </xf>
    <xf numFmtId="0" fontId="30" fillId="2" borderId="52" xfId="0" applyFont="1" applyFill="1" applyBorder="1" applyAlignment="1">
      <alignment vertical="center"/>
    </xf>
    <xf numFmtId="0" fontId="30" fillId="2" borderId="37" xfId="0" applyFont="1" applyFill="1" applyBorder="1" applyAlignment="1">
      <alignment vertical="center"/>
    </xf>
    <xf numFmtId="2" fontId="30" fillId="2" borderId="8" xfId="0" applyNumberFormat="1" applyFont="1" applyFill="1" applyBorder="1" applyAlignment="1">
      <alignment horizontal="center" vertical="center"/>
    </xf>
    <xf numFmtId="0" fontId="30" fillId="0" borderId="53" xfId="0" applyFont="1" applyBorder="1" applyAlignment="1">
      <alignment vertical="center"/>
    </xf>
    <xf numFmtId="0" fontId="30" fillId="0" borderId="1" xfId="0" applyFont="1" applyBorder="1" applyAlignment="1">
      <alignment horizontal="center" vertical="center"/>
    </xf>
    <xf numFmtId="0" fontId="28" fillId="0" borderId="3" xfId="0" applyFont="1" applyBorder="1" applyAlignment="1">
      <alignment vertical="center"/>
    </xf>
    <xf numFmtId="0" fontId="28" fillId="0" borderId="4" xfId="0" applyFont="1" applyBorder="1" applyAlignment="1">
      <alignment vertical="center"/>
    </xf>
    <xf numFmtId="0" fontId="28" fillId="0" borderId="34" xfId="0" applyFont="1" applyBorder="1" applyAlignment="1">
      <alignment vertical="center"/>
    </xf>
    <xf numFmtId="0" fontId="30" fillId="2" borderId="54" xfId="0" applyFont="1" applyFill="1" applyBorder="1" applyAlignment="1">
      <alignment vertical="center"/>
    </xf>
    <xf numFmtId="0" fontId="30" fillId="2" borderId="4" xfId="0" applyFont="1" applyFill="1" applyBorder="1" applyAlignment="1">
      <alignment vertical="center"/>
    </xf>
    <xf numFmtId="0" fontId="30" fillId="2" borderId="34" xfId="0" applyFont="1" applyFill="1" applyBorder="1" applyAlignment="1">
      <alignment vertical="center"/>
    </xf>
    <xf numFmtId="2" fontId="30" fillId="2" borderId="5" xfId="0" applyNumberFormat="1" applyFont="1" applyFill="1" applyBorder="1" applyAlignment="1">
      <alignment horizontal="center" vertical="center"/>
    </xf>
    <xf numFmtId="0" fontId="28" fillId="0" borderId="54" xfId="0" applyFont="1" applyBorder="1" applyAlignment="1">
      <alignment vertical="center"/>
    </xf>
    <xf numFmtId="0" fontId="28" fillId="0" borderId="5" xfId="0" applyFont="1" applyBorder="1" applyAlignment="1">
      <alignment horizontal="center" vertical="center" wrapText="1"/>
    </xf>
    <xf numFmtId="0" fontId="30" fillId="2" borderId="1" xfId="0" applyFont="1" applyFill="1" applyBorder="1" applyAlignment="1">
      <alignment horizontal="center" vertical="center"/>
    </xf>
    <xf numFmtId="0" fontId="30" fillId="2" borderId="3" xfId="0" applyFont="1" applyFill="1" applyBorder="1" applyAlignment="1">
      <alignment vertical="center"/>
    </xf>
    <xf numFmtId="2" fontId="30" fillId="2" borderId="1" xfId="0" applyNumberFormat="1" applyFont="1" applyFill="1" applyBorder="1" applyAlignment="1">
      <alignment horizontal="center" vertical="center"/>
    </xf>
    <xf numFmtId="0" fontId="22" fillId="0" borderId="55" xfId="0" applyFont="1" applyBorder="1" applyAlignment="1">
      <alignment vertical="center"/>
    </xf>
    <xf numFmtId="0" fontId="22" fillId="0" borderId="56" xfId="0" applyFont="1" applyBorder="1" applyAlignment="1">
      <alignment vertical="center"/>
    </xf>
    <xf numFmtId="0" fontId="22" fillId="0" borderId="57" xfId="0" applyFont="1" applyBorder="1" applyAlignment="1">
      <alignment vertical="center"/>
    </xf>
    <xf numFmtId="0" fontId="22" fillId="0" borderId="35" xfId="0" applyFont="1" applyBorder="1" applyAlignment="1">
      <alignment vertical="center"/>
    </xf>
    <xf numFmtId="2" fontId="31" fillId="0" borderId="36" xfId="0" applyNumberFormat="1" applyFont="1" applyBorder="1" applyAlignment="1">
      <alignment vertical="center"/>
    </xf>
    <xf numFmtId="0" fontId="32" fillId="0" borderId="42" xfId="0" applyFont="1" applyBorder="1" applyAlignment="1">
      <alignment vertical="center"/>
    </xf>
    <xf numFmtId="0" fontId="32" fillId="0" borderId="43" xfId="0" applyFont="1" applyBorder="1" applyAlignment="1">
      <alignment vertical="center"/>
    </xf>
    <xf numFmtId="0" fontId="32" fillId="0" borderId="58" xfId="0" applyFont="1" applyBorder="1" applyAlignment="1">
      <alignment vertical="center"/>
    </xf>
    <xf numFmtId="2" fontId="30" fillId="0" borderId="50" xfId="0" applyNumberFormat="1" applyFont="1" applyBorder="1" applyAlignment="1">
      <alignment horizontal="center" vertical="center"/>
    </xf>
    <xf numFmtId="2" fontId="22" fillId="0" borderId="5" xfId="0" applyNumberFormat="1" applyFont="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vertical="center"/>
    </xf>
    <xf numFmtId="0" fontId="28" fillId="0" borderId="52" xfId="0" applyFont="1" applyBorder="1" applyAlignment="1">
      <alignment vertical="center"/>
    </xf>
    <xf numFmtId="0" fontId="28" fillId="0" borderId="37" xfId="0" applyFont="1" applyBorder="1" applyAlignment="1">
      <alignment vertical="center"/>
    </xf>
    <xf numFmtId="2" fontId="22" fillId="0" borderId="61" xfId="0" applyNumberFormat="1" applyFont="1" applyBorder="1" applyAlignment="1">
      <alignment horizontal="center" vertical="center"/>
    </xf>
    <xf numFmtId="0" fontId="32" fillId="0" borderId="62" xfId="0" applyFont="1" applyBorder="1" applyAlignment="1">
      <alignment vertical="center"/>
    </xf>
    <xf numFmtId="0" fontId="32" fillId="0" borderId="63" xfId="0" applyFont="1" applyBorder="1" applyAlignment="1">
      <alignment vertical="center"/>
    </xf>
    <xf numFmtId="0" fontId="32" fillId="0" borderId="64" xfId="0" applyFont="1" applyBorder="1" applyAlignment="1">
      <alignment vertical="center"/>
    </xf>
    <xf numFmtId="0" fontId="28" fillId="0" borderId="6" xfId="0" applyFont="1" applyBorder="1" applyAlignment="1">
      <alignment horizontal="center" vertical="center"/>
    </xf>
    <xf numFmtId="2" fontId="28" fillId="0" borderId="8" xfId="0" applyNumberFormat="1" applyFont="1" applyBorder="1" applyAlignment="1">
      <alignment horizontal="center" vertical="center"/>
    </xf>
    <xf numFmtId="0" fontId="22" fillId="0" borderId="35" xfId="0" applyFont="1" applyBorder="1"/>
    <xf numFmtId="0" fontId="22" fillId="0" borderId="0" xfId="0" applyFont="1"/>
    <xf numFmtId="0" fontId="22" fillId="0" borderId="36" xfId="0" applyFont="1" applyBorder="1"/>
    <xf numFmtId="0" fontId="32" fillId="0" borderId="35" xfId="0" applyFont="1" applyBorder="1" applyAlignment="1">
      <alignment vertical="center" wrapText="1"/>
    </xf>
    <xf numFmtId="0" fontId="32" fillId="0" borderId="0" xfId="0" applyFont="1" applyAlignment="1">
      <alignment vertical="center" wrapText="1"/>
    </xf>
    <xf numFmtId="0" fontId="32" fillId="0" borderId="36" xfId="0" applyFont="1" applyBorder="1" applyAlignment="1">
      <alignment vertical="center" wrapText="1"/>
    </xf>
    <xf numFmtId="10" fontId="22" fillId="0" borderId="0" xfId="18" applyNumberFormat="1" applyFont="1" applyBorder="1"/>
    <xf numFmtId="10" fontId="22" fillId="0" borderId="36" xfId="18" applyNumberFormat="1" applyFont="1" applyBorder="1"/>
    <xf numFmtId="10" fontId="32" fillId="0" borderId="0" xfId="0" applyNumberFormat="1" applyFont="1"/>
    <xf numFmtId="10" fontId="32" fillId="0" borderId="36" xfId="0" applyNumberFormat="1" applyFont="1" applyBorder="1"/>
    <xf numFmtId="0" fontId="32" fillId="6" borderId="54" xfId="0" applyFont="1" applyFill="1" applyBorder="1" applyAlignment="1">
      <alignment horizontal="right" vertical="center"/>
    </xf>
    <xf numFmtId="0" fontId="32" fillId="6" borderId="4" xfId="0" applyFont="1" applyFill="1" applyBorder="1" applyAlignment="1">
      <alignment vertical="center"/>
    </xf>
    <xf numFmtId="10" fontId="32" fillId="6" borderId="34" xfId="0" applyNumberFormat="1" applyFont="1" applyFill="1" applyBorder="1" applyAlignment="1">
      <alignment vertical="center"/>
    </xf>
    <xf numFmtId="0" fontId="32" fillId="0" borderId="3" xfId="0" applyFont="1" applyBorder="1" applyAlignment="1">
      <alignment vertical="center"/>
    </xf>
    <xf numFmtId="0" fontId="32" fillId="0" borderId="4" xfId="0" applyFont="1" applyBorder="1" applyAlignment="1">
      <alignment vertical="center"/>
    </xf>
    <xf numFmtId="10" fontId="32" fillId="0" borderId="65" xfId="0" applyNumberFormat="1" applyFont="1" applyBorder="1" applyAlignment="1">
      <alignment vertical="center"/>
    </xf>
    <xf numFmtId="0" fontId="22" fillId="0" borderId="36" xfId="0" applyFont="1" applyBorder="1" applyAlignment="1">
      <alignment horizontal="right" vertical="center"/>
    </xf>
    <xf numFmtId="0" fontId="22" fillId="3" borderId="42" xfId="9" applyFont="1" applyFill="1" applyBorder="1"/>
    <xf numFmtId="0" fontId="22" fillId="3" borderId="43" xfId="9" applyFont="1" applyFill="1" applyBorder="1"/>
    <xf numFmtId="165" fontId="16" fillId="0" borderId="46" xfId="12" applyNumberFormat="1" applyFont="1" applyBorder="1" applyAlignment="1">
      <alignment horizontal="center" vertical="center"/>
    </xf>
    <xf numFmtId="165" fontId="16" fillId="0" borderId="66" xfId="12" applyNumberFormat="1" applyFont="1" applyBorder="1" applyAlignment="1">
      <alignment horizontal="center" vertical="center"/>
    </xf>
    <xf numFmtId="0" fontId="16" fillId="0" borderId="66" xfId="12" applyFont="1" applyBorder="1" applyAlignment="1">
      <alignment horizontal="center" vertical="center"/>
    </xf>
    <xf numFmtId="0" fontId="17" fillId="0" borderId="66" xfId="12" applyFont="1" applyBorder="1" applyAlignment="1">
      <alignment horizontal="center" vertical="center"/>
    </xf>
    <xf numFmtId="0" fontId="16" fillId="0" borderId="67" xfId="0" applyFont="1" applyFill="1" applyBorder="1" applyAlignment="1">
      <alignment horizontal="center" vertical="center"/>
    </xf>
    <xf numFmtId="0" fontId="16" fillId="0" borderId="68" xfId="0" applyFont="1" applyFill="1" applyBorder="1" applyAlignment="1">
      <alignment horizontal="center" vertical="center"/>
    </xf>
    <xf numFmtId="10" fontId="18" fillId="0" borderId="69" xfId="0" applyNumberFormat="1" applyFont="1" applyFill="1" applyBorder="1" applyAlignment="1">
      <alignment horizontal="center" vertical="center"/>
    </xf>
    <xf numFmtId="4" fontId="16" fillId="0" borderId="70" xfId="0" applyNumberFormat="1" applyFont="1" applyFill="1" applyBorder="1" applyAlignment="1">
      <alignment vertical="center"/>
    </xf>
    <xf numFmtId="0" fontId="18" fillId="12" borderId="63" xfId="0" applyFont="1" applyFill="1" applyBorder="1" applyAlignment="1">
      <alignment vertical="center"/>
    </xf>
    <xf numFmtId="0" fontId="18" fillId="12" borderId="63" xfId="0" applyFont="1" applyFill="1" applyBorder="1" applyAlignment="1">
      <alignment horizontal="center" vertical="center"/>
    </xf>
    <xf numFmtId="2" fontId="18" fillId="12" borderId="63" xfId="0" applyNumberFormat="1" applyFont="1" applyFill="1" applyBorder="1" applyAlignment="1">
      <alignment vertical="center"/>
    </xf>
    <xf numFmtId="4" fontId="18" fillId="12" borderId="72" xfId="0" applyNumberFormat="1" applyFont="1" applyFill="1" applyBorder="1" applyAlignment="1">
      <alignment vertical="center"/>
    </xf>
    <xf numFmtId="0" fontId="16" fillId="7" borderId="9" xfId="6" applyFont="1" applyFill="1" applyBorder="1" applyAlignment="1">
      <alignment vertical="center"/>
    </xf>
    <xf numFmtId="0" fontId="16" fillId="7" borderId="39" xfId="6" applyFont="1" applyFill="1" applyBorder="1" applyAlignment="1">
      <alignment vertical="center"/>
    </xf>
    <xf numFmtId="0" fontId="23" fillId="8" borderId="1" xfId="0" applyFont="1" applyFill="1" applyBorder="1" applyAlignment="1">
      <alignment horizontal="center" vertical="center"/>
    </xf>
    <xf numFmtId="0" fontId="23" fillId="8" borderId="1" xfId="0" applyFont="1" applyFill="1" applyBorder="1" applyAlignment="1">
      <alignment vertical="center"/>
    </xf>
    <xf numFmtId="0" fontId="23" fillId="8" borderId="59" xfId="0" applyFont="1" applyFill="1" applyBorder="1" applyAlignment="1">
      <alignment vertical="center"/>
    </xf>
    <xf numFmtId="171" fontId="16" fillId="0" borderId="14" xfId="0" applyNumberFormat="1" applyFont="1" applyFill="1" applyBorder="1" applyAlignment="1">
      <alignment horizontal="right" vertical="center"/>
    </xf>
    <xf numFmtId="171" fontId="16" fillId="0" borderId="26" xfId="0" applyNumberFormat="1" applyFont="1" applyFill="1" applyBorder="1" applyAlignment="1">
      <alignment horizontal="right" vertical="center"/>
    </xf>
    <xf numFmtId="0" fontId="16" fillId="0" borderId="59" xfId="12" applyNumberFormat="1" applyFont="1" applyFill="1" applyBorder="1" applyAlignment="1">
      <alignment horizontal="center" vertical="center"/>
    </xf>
    <xf numFmtId="0" fontId="16" fillId="0" borderId="73" xfId="12" quotePrefix="1" applyNumberFormat="1" applyFont="1" applyFill="1" applyBorder="1" applyAlignment="1">
      <alignment horizontal="center" vertical="center"/>
    </xf>
    <xf numFmtId="0" fontId="16" fillId="0" borderId="73" xfId="12" applyFont="1" applyFill="1" applyBorder="1" applyAlignment="1">
      <alignment horizontal="justify" vertical="center"/>
    </xf>
    <xf numFmtId="165" fontId="16" fillId="0" borderId="73" xfId="12" applyNumberFormat="1" applyFont="1" applyFill="1" applyBorder="1" applyAlignment="1">
      <alignment horizontal="center" vertical="center"/>
    </xf>
    <xf numFmtId="166" fontId="16" fillId="0" borderId="73" xfId="12" applyNumberFormat="1" applyFont="1" applyFill="1" applyBorder="1" applyAlignment="1">
      <alignment horizontal="center" vertical="center"/>
    </xf>
    <xf numFmtId="165" fontId="17" fillId="0" borderId="73" xfId="24" applyNumberFormat="1" applyFont="1" applyFill="1" applyBorder="1" applyAlignment="1">
      <alignment horizontal="center" vertical="center"/>
    </xf>
    <xf numFmtId="165" fontId="17" fillId="0" borderId="61" xfId="24" applyNumberFormat="1" applyFont="1" applyFill="1" applyBorder="1" applyAlignment="1">
      <alignment horizontal="center" vertical="center"/>
    </xf>
    <xf numFmtId="0" fontId="16" fillId="0" borderId="73" xfId="12" applyFont="1" applyFill="1" applyBorder="1" applyAlignment="1">
      <alignment horizontal="justify" vertical="top" wrapText="1"/>
    </xf>
    <xf numFmtId="10" fontId="16" fillId="0" borderId="2" xfId="16" applyNumberFormat="1" applyFont="1" applyFill="1" applyBorder="1" applyAlignment="1">
      <alignment vertical="center"/>
    </xf>
    <xf numFmtId="0" fontId="0" fillId="13" borderId="2" xfId="0" applyFill="1" applyBorder="1" applyAlignment="1">
      <alignment horizontal="center" vertical="center"/>
    </xf>
    <xf numFmtId="0" fontId="15" fillId="13" borderId="2" xfId="0" applyFont="1" applyFill="1" applyBorder="1" applyAlignment="1">
      <alignment horizontal="center" vertical="center"/>
    </xf>
    <xf numFmtId="44" fontId="0" fillId="0" borderId="2" xfId="0" applyNumberFormat="1" applyBorder="1" applyAlignment="1">
      <alignment horizontal="center" vertical="center"/>
    </xf>
    <xf numFmtId="0" fontId="0" fillId="0" borderId="2" xfId="0" applyBorder="1"/>
    <xf numFmtId="44" fontId="0" fillId="7" borderId="2" xfId="0" applyNumberFormat="1" applyFill="1" applyBorder="1" applyAlignment="1">
      <alignment horizontal="center" vertical="center"/>
    </xf>
    <xf numFmtId="0" fontId="0" fillId="7" borderId="2" xfId="0" applyFill="1" applyBorder="1" applyAlignment="1">
      <alignment horizontal="center" vertical="center"/>
    </xf>
    <xf numFmtId="44" fontId="0" fillId="7" borderId="2" xfId="0" applyNumberFormat="1" applyFill="1" applyBorder="1"/>
    <xf numFmtId="44" fontId="15" fillId="7" borderId="2" xfId="0" applyNumberFormat="1" applyFont="1" applyFill="1" applyBorder="1" applyAlignment="1">
      <alignment horizontal="center" vertical="center"/>
    </xf>
    <xf numFmtId="44" fontId="15" fillId="7" borderId="2" xfId="0" applyNumberFormat="1" applyFont="1" applyFill="1" applyBorder="1"/>
    <xf numFmtId="0" fontId="15" fillId="7" borderId="2" xfId="0" applyFont="1" applyFill="1" applyBorder="1"/>
    <xf numFmtId="0" fontId="15" fillId="7" borderId="2" xfId="0" applyFont="1" applyFill="1" applyBorder="1" applyAlignment="1">
      <alignment horizontal="center" vertical="center"/>
    </xf>
    <xf numFmtId="0" fontId="0" fillId="7" borderId="2" xfId="0" applyFill="1" applyBorder="1" applyAlignment="1"/>
    <xf numFmtId="0" fontId="15" fillId="7" borderId="2" xfId="0" applyFont="1" applyFill="1" applyBorder="1" applyAlignment="1"/>
    <xf numFmtId="0" fontId="15" fillId="7" borderId="2" xfId="0" applyFont="1" applyFill="1" applyBorder="1" applyAlignment="1">
      <alignment horizontal="center"/>
    </xf>
    <xf numFmtId="0" fontId="33" fillId="0" borderId="2" xfId="0" applyFont="1" applyBorder="1" applyAlignment="1">
      <alignment horizontal="center" vertical="center"/>
    </xf>
    <xf numFmtId="0" fontId="34" fillId="7" borderId="9" xfId="0" applyFont="1" applyFill="1" applyBorder="1"/>
    <xf numFmtId="0" fontId="34" fillId="7" borderId="10" xfId="0" applyFont="1" applyFill="1" applyBorder="1"/>
    <xf numFmtId="0" fontId="34" fillId="7" borderId="10" xfId="0" applyFont="1" applyFill="1" applyBorder="1" applyAlignment="1">
      <alignment horizontal="center"/>
    </xf>
    <xf numFmtId="0" fontId="34" fillId="7" borderId="11" xfId="0" applyFont="1" applyFill="1" applyBorder="1"/>
    <xf numFmtId="0" fontId="34" fillId="0" borderId="0" xfId="0" applyFont="1"/>
    <xf numFmtId="0" fontId="33" fillId="0" borderId="0" xfId="0" applyFont="1"/>
    <xf numFmtId="0" fontId="33" fillId="14" borderId="2" xfId="0" applyFont="1" applyFill="1" applyBorder="1" applyAlignment="1">
      <alignment horizontal="center" vertical="center"/>
    </xf>
    <xf numFmtId="0" fontId="35" fillId="14" borderId="2" xfId="0" applyFont="1" applyFill="1" applyBorder="1" applyAlignment="1">
      <alignment horizontal="center" vertical="center"/>
    </xf>
    <xf numFmtId="0" fontId="35" fillId="14" borderId="7" xfId="0" applyFont="1" applyFill="1" applyBorder="1" applyAlignment="1">
      <alignment horizontal="center" vertical="center"/>
    </xf>
    <xf numFmtId="0" fontId="33" fillId="0" borderId="74" xfId="0" applyFont="1" applyFill="1" applyBorder="1" applyAlignment="1">
      <alignment horizontal="center" vertical="center" wrapText="1"/>
    </xf>
    <xf numFmtId="0" fontId="33" fillId="0" borderId="66" xfId="0" applyFont="1" applyFill="1" applyBorder="1" applyAlignment="1">
      <alignment horizontal="center" vertical="center"/>
    </xf>
    <xf numFmtId="4" fontId="33" fillId="0" borderId="75" xfId="0" applyNumberFormat="1" applyFont="1" applyBorder="1" applyAlignment="1">
      <alignment horizontal="center" vertical="center"/>
    </xf>
    <xf numFmtId="4" fontId="33" fillId="0" borderId="75" xfId="0" applyNumberFormat="1" applyFont="1" applyFill="1" applyBorder="1" applyAlignment="1">
      <alignment horizontal="center" vertical="center"/>
    </xf>
    <xf numFmtId="4" fontId="33" fillId="0" borderId="66" xfId="0" applyNumberFormat="1" applyFont="1" applyFill="1" applyBorder="1" applyAlignment="1">
      <alignment horizontal="center" vertical="center"/>
    </xf>
    <xf numFmtId="4" fontId="33" fillId="0" borderId="66" xfId="0" applyNumberFormat="1" applyFont="1" applyBorder="1" applyAlignment="1">
      <alignment horizontal="center" vertical="center"/>
    </xf>
    <xf numFmtId="4" fontId="33" fillId="0" borderId="2" xfId="0" applyNumberFormat="1" applyFont="1" applyBorder="1" applyAlignment="1">
      <alignment horizontal="center" vertical="center"/>
    </xf>
    <xf numFmtId="169" fontId="33" fillId="0" borderId="2" xfId="0" applyNumberFormat="1" applyFont="1" applyBorder="1" applyAlignment="1">
      <alignment horizontal="center" vertical="center"/>
    </xf>
    <xf numFmtId="4" fontId="33" fillId="0" borderId="2" xfId="0" applyNumberFormat="1" applyFont="1" applyFill="1" applyBorder="1" applyAlignment="1">
      <alignment horizontal="center" vertical="center"/>
    </xf>
    <xf numFmtId="165" fontId="35" fillId="0" borderId="76" xfId="0" applyNumberFormat="1" applyFont="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horizontal="center" vertical="center"/>
    </xf>
    <xf numFmtId="168" fontId="35" fillId="0" borderId="0" xfId="0" applyNumberFormat="1" applyFont="1" applyFill="1" applyBorder="1" applyAlignment="1">
      <alignment horizontal="center" vertical="center"/>
    </xf>
    <xf numFmtId="0" fontId="33" fillId="0" borderId="0" xfId="0" applyFont="1" applyFill="1"/>
    <xf numFmtId="0" fontId="33" fillId="0" borderId="0" xfId="0" applyFont="1" applyAlignment="1">
      <alignment horizontal="center"/>
    </xf>
    <xf numFmtId="0" fontId="16" fillId="0" borderId="0" xfId="0" applyFont="1" applyAlignment="1">
      <alignment horizontal="center"/>
    </xf>
    <xf numFmtId="0" fontId="33" fillId="0" borderId="0" xfId="0" applyFont="1" applyAlignment="1">
      <alignment horizontal="center" vertical="center"/>
    </xf>
    <xf numFmtId="0" fontId="34" fillId="7" borderId="0" xfId="0" applyFont="1" applyFill="1" applyBorder="1"/>
    <xf numFmtId="0" fontId="35" fillId="7" borderId="0" xfId="0" applyFont="1" applyFill="1" applyBorder="1" applyAlignment="1">
      <alignment horizontal="center"/>
    </xf>
    <xf numFmtId="0" fontId="33" fillId="7" borderId="0" xfId="0" applyFont="1" applyFill="1" applyBorder="1" applyAlignment="1">
      <alignment horizontal="center"/>
    </xf>
    <xf numFmtId="165" fontId="35" fillId="12" borderId="0" xfId="12" applyNumberFormat="1" applyFont="1" applyFill="1" applyBorder="1" applyAlignment="1">
      <alignment horizontal="center" vertical="center" wrapText="1"/>
    </xf>
    <xf numFmtId="0" fontId="36" fillId="0" borderId="0" xfId="0" applyFont="1" applyBorder="1" applyAlignment="1">
      <alignment horizontal="center" vertical="top"/>
    </xf>
    <xf numFmtId="0" fontId="35" fillId="14" borderId="0" xfId="0" applyFont="1" applyFill="1" applyBorder="1" applyAlignment="1">
      <alignment horizontal="center" vertical="center"/>
    </xf>
    <xf numFmtId="2" fontId="35" fillId="14" borderId="0" xfId="0" applyNumberFormat="1" applyFont="1" applyFill="1" applyBorder="1" applyAlignment="1">
      <alignment horizontal="center" vertical="center"/>
    </xf>
    <xf numFmtId="165" fontId="35" fillId="0" borderId="0" xfId="0" applyNumberFormat="1" applyFont="1" applyBorder="1" applyAlignment="1">
      <alignment horizontal="center" vertical="center"/>
    </xf>
    <xf numFmtId="4" fontId="33" fillId="0" borderId="0" xfId="0" applyNumberFormat="1" applyFont="1" applyBorder="1" applyAlignment="1">
      <alignment horizontal="center" vertical="center"/>
    </xf>
    <xf numFmtId="2" fontId="35" fillId="14" borderId="60" xfId="0" applyNumberFormat="1" applyFont="1" applyFill="1" applyBorder="1" applyAlignment="1">
      <alignment horizontal="center" vertical="center"/>
    </xf>
    <xf numFmtId="4" fontId="33" fillId="0" borderId="77" xfId="0" applyNumberFormat="1" applyFont="1" applyBorder="1" applyAlignment="1">
      <alignment horizontal="center" vertical="center"/>
    </xf>
    <xf numFmtId="0" fontId="33" fillId="7" borderId="39" xfId="0" applyFont="1" applyFill="1" applyBorder="1" applyAlignment="1">
      <alignment horizontal="center"/>
    </xf>
    <xf numFmtId="0" fontId="33" fillId="7" borderId="40" xfId="0" applyFont="1" applyFill="1" applyBorder="1" applyAlignment="1">
      <alignment horizontal="center"/>
    </xf>
    <xf numFmtId="0" fontId="33" fillId="7" borderId="41" xfId="0" applyFont="1" applyFill="1" applyBorder="1" applyAlignment="1">
      <alignment horizontal="center"/>
    </xf>
    <xf numFmtId="0" fontId="33" fillId="0" borderId="35" xfId="0" applyFont="1" applyFill="1" applyBorder="1" applyAlignment="1">
      <alignment horizontal="center" vertical="center" wrapText="1"/>
    </xf>
    <xf numFmtId="0" fontId="25" fillId="0" borderId="0" xfId="0" applyFont="1" applyAlignment="1">
      <alignment vertical="center"/>
    </xf>
    <xf numFmtId="0" fontId="33" fillId="0" borderId="0" xfId="0" applyFont="1" applyFill="1" applyBorder="1"/>
    <xf numFmtId="0" fontId="33" fillId="0" borderId="9" xfId="0" applyFont="1" applyFill="1" applyBorder="1"/>
    <xf numFmtId="0" fontId="35" fillId="7" borderId="10" xfId="5" applyFont="1" applyFill="1" applyBorder="1" applyAlignment="1">
      <alignment vertical="center"/>
    </xf>
    <xf numFmtId="0" fontId="35" fillId="7" borderId="11" xfId="5" applyFont="1" applyFill="1" applyBorder="1" applyAlignment="1">
      <alignment vertical="center"/>
    </xf>
    <xf numFmtId="0" fontId="33" fillId="0" borderId="0" xfId="0" applyFont="1" applyFill="1" applyBorder="1" applyAlignment="1">
      <alignment horizontal="center" vertical="center"/>
    </xf>
    <xf numFmtId="0" fontId="33" fillId="0" borderId="0" xfId="0" applyFont="1" applyFill="1" applyAlignment="1">
      <alignment horizontal="center" vertical="center"/>
    </xf>
    <xf numFmtId="0" fontId="33" fillId="0" borderId="0" xfId="5" applyFont="1" applyFill="1" applyAlignment="1">
      <alignment horizontal="center" vertical="center"/>
    </xf>
    <xf numFmtId="4" fontId="33" fillId="0" borderId="66" xfId="5" applyNumberFormat="1" applyFont="1" applyFill="1" applyBorder="1" applyAlignment="1">
      <alignment horizontal="center" vertical="center"/>
    </xf>
    <xf numFmtId="165" fontId="37" fillId="14" borderId="2" xfId="21" applyNumberFormat="1" applyFont="1" applyFill="1" applyBorder="1" applyAlignment="1">
      <alignment horizontal="center" vertical="center" wrapText="1"/>
    </xf>
    <xf numFmtId="165" fontId="37" fillId="14" borderId="5" xfId="21" applyNumberFormat="1" applyFont="1" applyFill="1" applyBorder="1" applyAlignment="1">
      <alignment horizontal="center" vertical="center" wrapText="1"/>
    </xf>
    <xf numFmtId="0" fontId="37" fillId="14" borderId="1" xfId="5" applyFont="1" applyFill="1" applyBorder="1" applyAlignment="1">
      <alignment horizontal="center" vertical="center"/>
    </xf>
    <xf numFmtId="0" fontId="37" fillId="14" borderId="2" xfId="5" applyFont="1" applyFill="1" applyBorder="1" applyAlignment="1">
      <alignment horizontal="center" vertical="center"/>
    </xf>
    <xf numFmtId="2" fontId="37" fillId="14" borderId="2" xfId="5" applyNumberFormat="1" applyFont="1" applyFill="1" applyBorder="1" applyAlignment="1">
      <alignment horizontal="center" vertical="center"/>
    </xf>
    <xf numFmtId="2" fontId="37" fillId="14" borderId="5" xfId="5" applyNumberFormat="1" applyFont="1" applyFill="1" applyBorder="1" applyAlignment="1">
      <alignment horizontal="center" vertical="center"/>
    </xf>
    <xf numFmtId="0" fontId="37" fillId="14" borderId="34" xfId="5" applyFont="1" applyFill="1" applyBorder="1" applyAlignment="1">
      <alignment horizontal="center" vertical="center"/>
    </xf>
    <xf numFmtId="0" fontId="37" fillId="14" borderId="2" xfId="5" applyFont="1" applyFill="1" applyBorder="1" applyAlignment="1">
      <alignment horizontal="center" vertical="center" wrapText="1"/>
    </xf>
    <xf numFmtId="0" fontId="37" fillId="14" borderId="1" xfId="5" applyFont="1" applyFill="1" applyBorder="1" applyAlignment="1">
      <alignment horizontal="center" vertical="center" wrapText="1"/>
    </xf>
    <xf numFmtId="0" fontId="37" fillId="14" borderId="5" xfId="5" applyFont="1" applyFill="1" applyBorder="1" applyAlignment="1">
      <alignment horizontal="center" vertical="center" wrapText="1"/>
    </xf>
    <xf numFmtId="0" fontId="37" fillId="14" borderId="5" xfId="5" applyFont="1" applyFill="1" applyBorder="1" applyAlignment="1">
      <alignment horizontal="center" vertical="center"/>
    </xf>
    <xf numFmtId="0" fontId="37" fillId="14" borderId="34" xfId="5" applyFont="1" applyFill="1" applyBorder="1" applyAlignment="1">
      <alignment horizontal="center" vertical="center" wrapText="1"/>
    </xf>
    <xf numFmtId="0" fontId="33" fillId="0" borderId="46" xfId="0" applyFont="1" applyFill="1" applyBorder="1" applyAlignment="1">
      <alignment horizontal="center" vertical="center"/>
    </xf>
    <xf numFmtId="0" fontId="33" fillId="0" borderId="78" xfId="5" applyFont="1" applyFill="1" applyBorder="1" applyAlignment="1">
      <alignment horizontal="left" vertical="center" wrapText="1"/>
    </xf>
    <xf numFmtId="2" fontId="33" fillId="0" borderId="78" xfId="5" applyNumberFormat="1" applyFont="1" applyFill="1" applyBorder="1" applyAlignment="1">
      <alignment horizontal="center" vertical="center" wrapText="1"/>
    </xf>
    <xf numFmtId="0" fontId="37" fillId="0" borderId="79" xfId="5" applyFont="1" applyFill="1" applyBorder="1" applyAlignment="1">
      <alignment horizontal="center" vertical="center"/>
    </xf>
    <xf numFmtId="0" fontId="37" fillId="0" borderId="80" xfId="5" applyFont="1" applyFill="1" applyBorder="1" applyAlignment="1">
      <alignment horizontal="center" vertical="center"/>
    </xf>
    <xf numFmtId="0" fontId="37" fillId="14" borderId="81" xfId="5" quotePrefix="1" applyFont="1" applyFill="1" applyBorder="1" applyAlignment="1">
      <alignment horizontal="center" vertical="center"/>
    </xf>
    <xf numFmtId="0" fontId="37" fillId="14" borderId="79" xfId="5" quotePrefix="1" applyFont="1" applyFill="1" applyBorder="1" applyAlignment="1">
      <alignment horizontal="center" vertical="center"/>
    </xf>
    <xf numFmtId="0" fontId="37" fillId="14" borderId="82" xfId="5" applyFont="1" applyFill="1" applyBorder="1" applyAlignment="1">
      <alignment horizontal="center" vertical="center"/>
    </xf>
    <xf numFmtId="0" fontId="37" fillId="14" borderId="83" xfId="5" quotePrefix="1" applyFont="1" applyFill="1" applyBorder="1" applyAlignment="1">
      <alignment horizontal="center" vertical="center"/>
    </xf>
    <xf numFmtId="0" fontId="37" fillId="14" borderId="83" xfId="5" applyFont="1" applyFill="1" applyBorder="1" applyAlignment="1">
      <alignment horizontal="center" vertical="center"/>
    </xf>
    <xf numFmtId="0" fontId="37" fillId="14" borderId="79" xfId="5" applyFont="1" applyFill="1" applyBorder="1" applyAlignment="1">
      <alignment horizontal="center" vertical="center"/>
    </xf>
    <xf numFmtId="0" fontId="38" fillId="0" borderId="0" xfId="0" applyFont="1" applyFill="1"/>
    <xf numFmtId="4" fontId="35" fillId="12" borderId="84" xfId="30" applyNumberFormat="1" applyFont="1" applyFill="1" applyBorder="1" applyAlignment="1">
      <alignment horizontal="center" vertical="center"/>
    </xf>
    <xf numFmtId="0" fontId="38" fillId="0" borderId="0" xfId="0" applyFont="1" applyFill="1" applyAlignment="1">
      <alignment horizontal="center" vertical="center"/>
    </xf>
    <xf numFmtId="2" fontId="16" fillId="0" borderId="14" xfId="0" applyNumberFormat="1" applyFont="1" applyFill="1" applyBorder="1" applyAlignment="1">
      <alignment horizontal="right" vertical="center"/>
    </xf>
    <xf numFmtId="2" fontId="16" fillId="0" borderId="26" xfId="0" applyNumberFormat="1" applyFont="1" applyFill="1" applyBorder="1" applyAlignment="1">
      <alignment vertical="center"/>
    </xf>
    <xf numFmtId="4" fontId="16" fillId="0" borderId="26" xfId="0" applyNumberFormat="1" applyFont="1" applyFill="1" applyBorder="1" applyAlignment="1">
      <alignment vertical="center"/>
    </xf>
    <xf numFmtId="10" fontId="18" fillId="0" borderId="15" xfId="0" applyNumberFormat="1" applyFont="1" applyFill="1" applyBorder="1" applyAlignment="1">
      <alignment horizontal="center" vertical="center"/>
    </xf>
    <xf numFmtId="0" fontId="25" fillId="0" borderId="2" xfId="0" applyFont="1" applyBorder="1" applyAlignment="1">
      <alignment horizontal="center"/>
    </xf>
    <xf numFmtId="1" fontId="25" fillId="0" borderId="2" xfId="0" applyNumberFormat="1" applyFont="1" applyBorder="1" applyAlignment="1">
      <alignment horizontal="center"/>
    </xf>
    <xf numFmtId="0" fontId="33" fillId="0" borderId="2" xfId="0" applyFont="1" applyBorder="1" applyAlignment="1">
      <alignment horizontal="center" vertical="center"/>
    </xf>
    <xf numFmtId="172" fontId="18" fillId="0" borderId="5" xfId="25" applyFont="1" applyFill="1" applyBorder="1" applyAlignment="1" applyProtection="1">
      <alignment horizontal="center" vertical="center"/>
    </xf>
    <xf numFmtId="0" fontId="37" fillId="14" borderId="85" xfId="5" applyFont="1" applyFill="1" applyBorder="1" applyAlignment="1">
      <alignment horizontal="center" vertical="center"/>
    </xf>
    <xf numFmtId="0" fontId="37" fillId="14" borderId="86" xfId="5" applyFont="1" applyFill="1" applyBorder="1" applyAlignment="1">
      <alignment horizontal="center" vertical="center" wrapText="1"/>
    </xf>
    <xf numFmtId="0" fontId="37" fillId="14" borderId="86" xfId="5" applyFont="1" applyFill="1" applyBorder="1" applyAlignment="1">
      <alignment horizontal="center" vertical="center"/>
    </xf>
    <xf numFmtId="2" fontId="37" fillId="14" borderId="3" xfId="5" applyNumberFormat="1" applyFont="1" applyFill="1" applyBorder="1" applyAlignment="1">
      <alignment horizontal="center" vertical="center"/>
    </xf>
    <xf numFmtId="165" fontId="37" fillId="14" borderId="80" xfId="21" applyNumberFormat="1" applyFont="1" applyFill="1" applyBorder="1" applyAlignment="1">
      <alignment horizontal="center" vertical="center"/>
    </xf>
    <xf numFmtId="0" fontId="37" fillId="14" borderId="87" xfId="5" applyFont="1" applyFill="1" applyBorder="1" applyAlignment="1">
      <alignment horizontal="center" vertical="center"/>
    </xf>
    <xf numFmtId="0" fontId="33" fillId="0" borderId="39" xfId="0" applyFont="1" applyFill="1" applyBorder="1"/>
    <xf numFmtId="0" fontId="35" fillId="7" borderId="40" xfId="5" applyFont="1" applyFill="1" applyBorder="1" applyAlignment="1">
      <alignment vertical="center"/>
    </xf>
    <xf numFmtId="0" fontId="35" fillId="0" borderId="39" xfId="5" applyFont="1" applyFill="1" applyBorder="1" applyAlignment="1">
      <alignment vertical="center"/>
    </xf>
    <xf numFmtId="0" fontId="35" fillId="0" borderId="40" xfId="5" applyFont="1" applyFill="1" applyBorder="1" applyAlignment="1">
      <alignment vertical="center"/>
    </xf>
    <xf numFmtId="0" fontId="35" fillId="7" borderId="41" xfId="5" applyFont="1" applyFill="1" applyBorder="1" applyAlignment="1">
      <alignment vertical="center"/>
    </xf>
    <xf numFmtId="165" fontId="37" fillId="14" borderId="88" xfId="21" applyNumberFormat="1" applyFont="1" applyFill="1" applyBorder="1" applyAlignment="1">
      <alignment horizontal="center" vertical="center"/>
    </xf>
    <xf numFmtId="0" fontId="38" fillId="0" borderId="3" xfId="0" applyFont="1" applyFill="1" applyBorder="1" applyAlignment="1">
      <alignment horizontal="center" vertical="center"/>
    </xf>
    <xf numFmtId="0" fontId="38" fillId="0" borderId="0" xfId="0" applyFont="1" applyFill="1" applyBorder="1" applyAlignment="1">
      <alignment horizontal="center" vertical="center" wrapText="1"/>
    </xf>
    <xf numFmtId="0" fontId="38" fillId="0" borderId="2" xfId="0" applyFont="1" applyFill="1" applyBorder="1" applyAlignment="1">
      <alignment horizontal="center" vertical="center" wrapText="1"/>
    </xf>
    <xf numFmtId="169" fontId="33" fillId="0" borderId="2" xfId="0" applyNumberFormat="1" applyFont="1" applyFill="1" applyBorder="1" applyAlignment="1">
      <alignment horizontal="center" vertical="center"/>
    </xf>
    <xf numFmtId="169" fontId="38" fillId="0" borderId="2" xfId="0" applyNumberFormat="1" applyFont="1" applyFill="1" applyBorder="1" applyAlignment="1">
      <alignment horizontal="center" vertical="center"/>
    </xf>
    <xf numFmtId="2" fontId="37" fillId="14" borderId="87" xfId="5" applyNumberFormat="1" applyFont="1" applyFill="1" applyBorder="1" applyAlignment="1">
      <alignment horizontal="center" vertical="center"/>
    </xf>
    <xf numFmtId="173" fontId="16" fillId="0" borderId="1" xfId="25" applyNumberFormat="1" applyFont="1" applyFill="1" applyBorder="1" applyAlignment="1" applyProtection="1">
      <alignment horizontal="right" vertical="center"/>
    </xf>
    <xf numFmtId="165" fontId="18" fillId="15" borderId="92" xfId="12" applyNumberFormat="1" applyFont="1" applyFill="1" applyBorder="1" applyAlignment="1">
      <alignment horizontal="center" vertical="center" wrapText="1"/>
    </xf>
    <xf numFmtId="165" fontId="18" fillId="15" borderId="93" xfId="12" applyNumberFormat="1" applyFont="1" applyFill="1" applyBorder="1" applyAlignment="1">
      <alignment horizontal="center" vertical="center" wrapText="1"/>
    </xf>
    <xf numFmtId="0" fontId="23" fillId="16" borderId="71" xfId="0" applyFont="1" applyFill="1" applyBorder="1" applyAlignment="1">
      <alignment vertical="center"/>
    </xf>
    <xf numFmtId="0" fontId="40" fillId="0" borderId="46" xfId="0" applyFont="1" applyBorder="1" applyAlignment="1">
      <alignment horizontal="center" vertical="center"/>
    </xf>
    <xf numFmtId="2" fontId="40" fillId="0" borderId="66" xfId="0" applyNumberFormat="1" applyFont="1" applyBorder="1" applyAlignment="1">
      <alignment horizontal="center" vertical="center"/>
    </xf>
    <xf numFmtId="2" fontId="40" fillId="0" borderId="77" xfId="0" applyNumberFormat="1" applyFont="1" applyBorder="1" applyAlignment="1">
      <alignment horizontal="center" vertical="center"/>
    </xf>
    <xf numFmtId="169" fontId="40" fillId="0" borderId="77" xfId="0" applyNumberFormat="1" applyFont="1" applyBorder="1" applyAlignment="1">
      <alignment horizontal="center" vertical="center"/>
    </xf>
    <xf numFmtId="169" fontId="40" fillId="0" borderId="50" xfId="0" applyNumberFormat="1" applyFont="1" applyBorder="1" applyAlignment="1">
      <alignment horizontal="center" vertical="center"/>
    </xf>
    <xf numFmtId="0" fontId="40" fillId="0" borderId="0" xfId="0" applyFont="1" applyAlignment="1">
      <alignment horizontal="center" vertical="center"/>
    </xf>
    <xf numFmtId="0" fontId="40" fillId="0" borderId="1" xfId="0" applyFont="1" applyBorder="1" applyAlignment="1">
      <alignment horizontal="center" vertical="center"/>
    </xf>
    <xf numFmtId="2" fontId="40" fillId="0" borderId="2" xfId="0" applyNumberFormat="1" applyFont="1" applyBorder="1" applyAlignment="1">
      <alignment horizontal="center" vertical="center"/>
    </xf>
    <xf numFmtId="2" fontId="40" fillId="0" borderId="73" xfId="0" applyNumberFormat="1" applyFont="1" applyBorder="1" applyAlignment="1">
      <alignment horizontal="center" vertical="center"/>
    </xf>
    <xf numFmtId="165" fontId="18" fillId="15" borderId="93" xfId="12" applyNumberFormat="1" applyFont="1" applyFill="1" applyBorder="1" applyAlignment="1">
      <alignment horizontal="center" vertical="center" wrapText="1"/>
    </xf>
    <xf numFmtId="171" fontId="16" fillId="0" borderId="0" xfId="0" applyNumberFormat="1" applyFont="1" applyFill="1" applyBorder="1" applyAlignment="1">
      <alignment horizontal="right" vertical="center"/>
    </xf>
    <xf numFmtId="0" fontId="16" fillId="0" borderId="0" xfId="0" applyFont="1" applyFill="1" applyBorder="1" applyAlignment="1">
      <alignment vertical="center"/>
    </xf>
    <xf numFmtId="4" fontId="16" fillId="0" borderId="95" xfId="0" applyNumberFormat="1" applyFont="1" applyFill="1" applyBorder="1" applyAlignment="1">
      <alignment horizontal="right" vertical="center"/>
    </xf>
    <xf numFmtId="0" fontId="16" fillId="0" borderId="96" xfId="0" applyFont="1" applyFill="1" applyBorder="1" applyAlignment="1">
      <alignment vertical="center" wrapText="1"/>
    </xf>
    <xf numFmtId="0" fontId="18" fillId="0" borderId="0" xfId="0" applyFont="1" applyAlignment="1">
      <alignment horizontal="center" vertical="center"/>
    </xf>
    <xf numFmtId="0" fontId="41" fillId="0" borderId="2" xfId="0" applyFont="1" applyBorder="1" applyAlignment="1">
      <alignment horizontal="center" vertical="center"/>
    </xf>
    <xf numFmtId="0" fontId="41" fillId="0" borderId="2" xfId="0" applyFont="1" applyBorder="1" applyAlignment="1">
      <alignment horizontal="center"/>
    </xf>
    <xf numFmtId="0" fontId="41" fillId="0" borderId="34" xfId="0" applyFont="1" applyBorder="1" applyAlignment="1"/>
    <xf numFmtId="169" fontId="39" fillId="0" borderId="2" xfId="0" applyNumberFormat="1" applyFont="1" applyBorder="1" applyAlignment="1">
      <alignment horizontal="center" vertical="top"/>
    </xf>
    <xf numFmtId="169" fontId="42" fillId="0" borderId="2" xfId="0" applyNumberFormat="1" applyFont="1" applyBorder="1" applyAlignment="1">
      <alignment horizontal="center" vertical="top"/>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2" fontId="18" fillId="0" borderId="0" xfId="0" applyNumberFormat="1" applyFont="1" applyFill="1" applyBorder="1" applyAlignment="1">
      <alignment vertical="center"/>
    </xf>
    <xf numFmtId="4" fontId="18" fillId="0" borderId="0" xfId="0" applyNumberFormat="1" applyFont="1" applyFill="1" applyBorder="1" applyAlignment="1">
      <alignment vertical="center"/>
    </xf>
    <xf numFmtId="0" fontId="23" fillId="0" borderId="0" xfId="0" applyFont="1" applyFill="1" applyBorder="1" applyAlignment="1">
      <alignment vertical="center"/>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5" fillId="14" borderId="2" xfId="0" applyFont="1" applyFill="1" applyBorder="1" applyAlignment="1">
      <alignment horizontal="center" vertical="center"/>
    </xf>
    <xf numFmtId="0" fontId="35" fillId="14" borderId="3"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35" fillId="14" borderId="0" xfId="0" applyFont="1" applyFill="1" applyBorder="1" applyAlignment="1">
      <alignment vertical="center" wrapText="1"/>
    </xf>
    <xf numFmtId="0" fontId="35" fillId="14" borderId="0" xfId="0" applyFont="1" applyFill="1" applyBorder="1" applyAlignment="1">
      <alignment vertical="center"/>
    </xf>
    <xf numFmtId="0" fontId="33" fillId="14" borderId="0" xfId="0" applyFont="1" applyFill="1" applyBorder="1" applyAlignment="1">
      <alignment horizontal="center" vertical="center"/>
    </xf>
    <xf numFmtId="0" fontId="33" fillId="0" borderId="0" xfId="0" applyFont="1" applyBorder="1" applyAlignment="1">
      <alignment horizontal="center" vertical="center"/>
    </xf>
    <xf numFmtId="169" fontId="40" fillId="0" borderId="0" xfId="0" applyNumberFormat="1" applyFont="1" applyAlignment="1">
      <alignment horizontal="center" vertical="center"/>
    </xf>
    <xf numFmtId="169" fontId="33" fillId="0" borderId="2" xfId="0" applyNumberFormat="1" applyFont="1" applyBorder="1" applyAlignment="1">
      <alignment horizontal="center" vertical="center" wrapText="1"/>
    </xf>
    <xf numFmtId="169" fontId="33" fillId="0" borderId="0" xfId="0" applyNumberFormat="1" applyFont="1" applyBorder="1" applyAlignment="1">
      <alignment horizontal="center" vertical="center" wrapText="1"/>
    </xf>
    <xf numFmtId="0" fontId="33" fillId="0" borderId="2" xfId="0" applyFont="1" applyFill="1" applyBorder="1" applyAlignment="1">
      <alignment horizontal="center" vertical="center" wrapText="1"/>
    </xf>
    <xf numFmtId="0" fontId="40" fillId="0" borderId="0" xfId="0" applyFont="1" applyAlignment="1">
      <alignment horizontal="center" vertical="center" wrapText="1"/>
    </xf>
    <xf numFmtId="169" fontId="43" fillId="13" borderId="76" xfId="0" applyNumberFormat="1" applyFont="1" applyFill="1" applyBorder="1" applyAlignment="1">
      <alignment horizontal="center" vertical="center"/>
    </xf>
    <xf numFmtId="0" fontId="18" fillId="0" borderId="71" xfId="0" applyFont="1" applyFill="1" applyBorder="1" applyAlignment="1">
      <alignment horizontal="center" vertical="center" wrapText="1"/>
    </xf>
    <xf numFmtId="0" fontId="18" fillId="0" borderId="84" xfId="0" applyFont="1" applyFill="1" applyBorder="1" applyAlignment="1">
      <alignment horizontal="center" vertical="center" wrapText="1"/>
    </xf>
    <xf numFmtId="0" fontId="18" fillId="0" borderId="76" xfId="0" applyFont="1" applyFill="1" applyBorder="1" applyAlignment="1">
      <alignment horizontal="center" vertical="center" wrapText="1"/>
    </xf>
    <xf numFmtId="0" fontId="18" fillId="0" borderId="97" xfId="0" applyFont="1" applyFill="1" applyBorder="1" applyAlignment="1">
      <alignment horizontal="center" vertical="center" wrapText="1"/>
    </xf>
    <xf numFmtId="0" fontId="33" fillId="0" borderId="9" xfId="0" applyFont="1" applyFill="1" applyBorder="1" applyAlignment="1">
      <alignment vertical="center"/>
    </xf>
    <xf numFmtId="0" fontId="33" fillId="0" borderId="0" xfId="0" applyFont="1" applyFill="1" applyAlignment="1">
      <alignment vertical="center"/>
    </xf>
    <xf numFmtId="0" fontId="33" fillId="0" borderId="39" xfId="0" applyFont="1" applyFill="1" applyBorder="1" applyAlignment="1">
      <alignment vertical="center"/>
    </xf>
    <xf numFmtId="0" fontId="38" fillId="0" borderId="0" xfId="0" applyFont="1" applyFill="1" applyAlignment="1">
      <alignment vertical="center"/>
    </xf>
    <xf numFmtId="0" fontId="33" fillId="0" borderId="0" xfId="0" applyFont="1" applyFill="1" applyBorder="1" applyAlignment="1">
      <alignment vertical="center"/>
    </xf>
    <xf numFmtId="0" fontId="33" fillId="0" borderId="2" xfId="0" applyFont="1" applyFill="1" applyBorder="1" applyAlignment="1">
      <alignment vertical="center"/>
    </xf>
    <xf numFmtId="0" fontId="37" fillId="0" borderId="7" xfId="5" applyFont="1" applyFill="1" applyBorder="1" applyAlignment="1">
      <alignment horizontal="center" vertical="center"/>
    </xf>
    <xf numFmtId="0" fontId="37" fillId="0" borderId="60" xfId="5" applyFont="1" applyFill="1" applyBorder="1" applyAlignment="1">
      <alignment horizontal="center" vertical="center"/>
    </xf>
    <xf numFmtId="0" fontId="37" fillId="14" borderId="7" xfId="5" applyFont="1" applyFill="1" applyBorder="1" applyAlignment="1">
      <alignment horizontal="center" vertical="center"/>
    </xf>
    <xf numFmtId="0" fontId="34" fillId="0" borderId="0" xfId="0" applyFont="1" applyAlignment="1">
      <alignment vertical="center"/>
    </xf>
    <xf numFmtId="0" fontId="34" fillId="0" borderId="2" xfId="0" applyNumberFormat="1" applyFont="1" applyFill="1" applyBorder="1" applyAlignment="1">
      <alignment horizontal="center" vertical="center" wrapText="1"/>
    </xf>
    <xf numFmtId="0" fontId="34" fillId="0" borderId="2" xfId="0" applyFont="1" applyFill="1" applyBorder="1" applyAlignment="1">
      <alignment horizontal="justify" vertical="center"/>
    </xf>
    <xf numFmtId="165" fontId="34" fillId="0" borderId="2" xfId="26" applyFont="1" applyFill="1" applyBorder="1" applyAlignment="1">
      <alignment horizontal="center" vertical="center" wrapText="1"/>
    </xf>
    <xf numFmtId="2" fontId="34" fillId="0" borderId="2" xfId="0" applyNumberFormat="1" applyFont="1" applyFill="1" applyBorder="1" applyAlignment="1">
      <alignment horizontal="center" vertical="center" wrapText="1"/>
    </xf>
    <xf numFmtId="164" fontId="34" fillId="0" borderId="2" xfId="1" applyFont="1" applyFill="1" applyBorder="1" applyAlignment="1">
      <alignment horizontal="right" vertical="center"/>
    </xf>
    <xf numFmtId="0" fontId="34" fillId="0" borderId="2" xfId="0" applyFont="1" applyFill="1" applyBorder="1" applyAlignment="1">
      <alignment horizontal="center" vertical="center" wrapText="1"/>
    </xf>
    <xf numFmtId="49" fontId="34" fillId="0" borderId="2" xfId="0" applyNumberFormat="1" applyFont="1" applyFill="1" applyBorder="1" applyAlignment="1">
      <alignment horizontal="center" vertical="center" wrapText="1"/>
    </xf>
    <xf numFmtId="0" fontId="34" fillId="0" borderId="2" xfId="0" applyFont="1" applyFill="1" applyBorder="1" applyAlignment="1">
      <alignment horizontal="justify" vertical="center" wrapText="1"/>
    </xf>
    <xf numFmtId="4" fontId="34" fillId="0" borderId="2" xfId="0" applyNumberFormat="1" applyFont="1" applyFill="1" applyBorder="1" applyAlignment="1">
      <alignment vertical="center" wrapText="1"/>
    </xf>
    <xf numFmtId="0" fontId="34" fillId="0" borderId="0" xfId="0" applyFont="1" applyBorder="1" applyAlignment="1">
      <alignment vertical="center"/>
    </xf>
    <xf numFmtId="0" fontId="34" fillId="0" borderId="2" xfId="0" quotePrefix="1" applyFont="1" applyFill="1" applyBorder="1" applyAlignment="1">
      <alignment horizontal="justify" vertical="center" wrapText="1"/>
    </xf>
    <xf numFmtId="0" fontId="34" fillId="0" borderId="0" xfId="0" applyFont="1" applyFill="1" applyAlignment="1">
      <alignment vertical="center"/>
    </xf>
    <xf numFmtId="49" fontId="19" fillId="0" borderId="2" xfId="0" applyNumberFormat="1" applyFont="1" applyFill="1" applyBorder="1" applyAlignment="1">
      <alignment horizontal="center" vertical="center" wrapText="1"/>
    </xf>
    <xf numFmtId="0" fontId="19" fillId="0" borderId="2" xfId="0" applyFont="1" applyFill="1" applyBorder="1" applyAlignment="1">
      <alignment horizontal="justify" vertical="center" wrapText="1"/>
    </xf>
    <xf numFmtId="43" fontId="34" fillId="0" borderId="0" xfId="0" applyNumberFormat="1" applyFont="1" applyAlignment="1">
      <alignment vertical="center"/>
    </xf>
    <xf numFmtId="0" fontId="34" fillId="0" borderId="2" xfId="0" applyFont="1" applyFill="1" applyBorder="1" applyAlignment="1">
      <alignment horizontal="center" vertical="center"/>
    </xf>
    <xf numFmtId="164" fontId="34" fillId="0" borderId="0" xfId="1" applyFont="1" applyAlignment="1">
      <alignment vertical="center"/>
    </xf>
    <xf numFmtId="2" fontId="40" fillId="0" borderId="66" xfId="0" applyNumberFormat="1" applyFont="1" applyBorder="1" applyAlignment="1">
      <alignment horizontal="center" vertical="center" wrapText="1"/>
    </xf>
    <xf numFmtId="2" fontId="40" fillId="0" borderId="2" xfId="0" applyNumberFormat="1" applyFont="1" applyBorder="1" applyAlignment="1">
      <alignment horizontal="center" vertical="center" wrapText="1"/>
    </xf>
    <xf numFmtId="2" fontId="37" fillId="14" borderId="98" xfId="5" applyNumberFormat="1" applyFont="1" applyFill="1" applyBorder="1" applyAlignment="1">
      <alignment horizontal="center" vertical="center"/>
    </xf>
    <xf numFmtId="165" fontId="37" fillId="14" borderId="40" xfId="21" applyNumberFormat="1" applyFont="1" applyFill="1" applyBorder="1" applyAlignment="1">
      <alignment horizontal="center" vertical="center"/>
    </xf>
    <xf numFmtId="0" fontId="35" fillId="14" borderId="2" xfId="0" applyFont="1" applyFill="1" applyBorder="1" applyAlignment="1">
      <alignment horizontal="center" vertical="center"/>
    </xf>
    <xf numFmtId="0" fontId="33" fillId="0" borderId="99" xfId="0" applyFont="1" applyFill="1" applyBorder="1" applyAlignment="1">
      <alignment horizontal="center" vertical="center"/>
    </xf>
    <xf numFmtId="4" fontId="33" fillId="0" borderId="73" xfId="0" applyNumberFormat="1" applyFont="1" applyFill="1" applyBorder="1" applyAlignment="1">
      <alignment horizontal="center" vertical="center"/>
    </xf>
    <xf numFmtId="4" fontId="33" fillId="0" borderId="99" xfId="0" applyNumberFormat="1" applyFont="1" applyFill="1" applyBorder="1" applyAlignment="1">
      <alignment horizontal="center" vertical="center"/>
    </xf>
    <xf numFmtId="0" fontId="11" fillId="14" borderId="7" xfId="0" applyFont="1" applyFill="1" applyBorder="1" applyAlignment="1">
      <alignment horizontal="center" vertical="center" wrapText="1"/>
    </xf>
    <xf numFmtId="2" fontId="19" fillId="0" borderId="0" xfId="0" applyNumberFormat="1" applyFont="1" applyAlignment="1">
      <alignment vertical="center"/>
    </xf>
    <xf numFmtId="0" fontId="35" fillId="14" borderId="2" xfId="0" applyFont="1" applyFill="1" applyBorder="1" applyAlignment="1">
      <alignment horizontal="center" vertical="center"/>
    </xf>
    <xf numFmtId="0" fontId="35" fillId="14" borderId="3" xfId="0" applyFont="1" applyFill="1" applyBorder="1" applyAlignment="1">
      <alignment horizontal="center" vertical="center" wrapText="1"/>
    </xf>
    <xf numFmtId="0" fontId="16" fillId="0" borderId="22" xfId="0" applyFont="1" applyFill="1" applyBorder="1" applyAlignment="1">
      <alignment horizontal="left" vertical="center" wrapText="1"/>
    </xf>
    <xf numFmtId="0" fontId="16" fillId="0" borderId="29" xfId="0" applyFont="1" applyFill="1" applyBorder="1" applyAlignment="1">
      <alignment horizontal="center" vertical="center" wrapText="1"/>
    </xf>
    <xf numFmtId="0" fontId="34" fillId="17" borderId="0" xfId="0" applyFont="1" applyFill="1" applyAlignment="1">
      <alignment vertical="center"/>
    </xf>
    <xf numFmtId="0" fontId="18" fillId="0" borderId="22" xfId="0" applyFont="1" applyFill="1" applyBorder="1" applyAlignment="1">
      <alignment horizontal="left" vertical="center" wrapText="1"/>
    </xf>
    <xf numFmtId="0" fontId="18" fillId="0" borderId="22" xfId="0" applyFont="1" applyFill="1" applyBorder="1" applyAlignment="1">
      <alignment horizontal="left" vertical="center"/>
    </xf>
    <xf numFmtId="0" fontId="17" fillId="18" borderId="0" xfId="0" applyFont="1" applyFill="1" applyAlignment="1">
      <alignment vertical="center"/>
    </xf>
    <xf numFmtId="0" fontId="23" fillId="19" borderId="0" xfId="0" applyFont="1" applyFill="1" applyAlignment="1">
      <alignment vertical="center"/>
    </xf>
    <xf numFmtId="0" fontId="34" fillId="0" borderId="9" xfId="0" applyFont="1" applyFill="1" applyBorder="1" applyAlignment="1">
      <alignment vertical="center"/>
    </xf>
    <xf numFmtId="0" fontId="34" fillId="0" borderId="10" xfId="0" applyFont="1" applyFill="1" applyBorder="1" applyAlignment="1">
      <alignment vertical="center"/>
    </xf>
    <xf numFmtId="0" fontId="19" fillId="0" borderId="0" xfId="0" applyFont="1" applyFill="1" applyBorder="1" applyAlignment="1">
      <alignment horizontal="center" vertical="center" wrapText="1"/>
    </xf>
    <xf numFmtId="0" fontId="32" fillId="0" borderId="66" xfId="0" applyFont="1" applyFill="1" applyBorder="1" applyAlignment="1">
      <alignment horizontal="center" vertical="center" wrapText="1"/>
    </xf>
    <xf numFmtId="10" fontId="32" fillId="0" borderId="2" xfId="16" applyNumberFormat="1" applyFont="1" applyFill="1" applyBorder="1" applyAlignment="1">
      <alignment horizontal="center" vertical="center" wrapText="1"/>
    </xf>
    <xf numFmtId="164" fontId="34" fillId="0" borderId="2" xfId="1" applyFont="1" applyFill="1" applyBorder="1" applyAlignment="1">
      <alignment vertical="center"/>
    </xf>
    <xf numFmtId="164" fontId="34" fillId="0" borderId="2" xfId="1" applyFont="1" applyFill="1" applyBorder="1" applyAlignment="1">
      <alignment horizontal="center" vertical="center" wrapText="1"/>
    </xf>
    <xf numFmtId="0" fontId="34" fillId="0" borderId="0" xfId="0" applyFont="1" applyFill="1" applyBorder="1" applyAlignment="1">
      <alignment vertical="center"/>
    </xf>
    <xf numFmtId="164" fontId="34" fillId="0" borderId="2" xfId="1" applyFont="1" applyFill="1" applyBorder="1" applyAlignment="1">
      <alignment horizontal="right" vertical="center" wrapText="1"/>
    </xf>
    <xf numFmtId="4" fontId="34" fillId="0" borderId="2" xfId="1" applyNumberFormat="1" applyFont="1" applyFill="1" applyBorder="1" applyAlignment="1">
      <alignment horizontal="right" vertical="center" wrapText="1"/>
    </xf>
    <xf numFmtId="43" fontId="34" fillId="0" borderId="0" xfId="0" applyNumberFormat="1" applyFont="1" applyFill="1" applyAlignment="1">
      <alignment vertical="center"/>
    </xf>
    <xf numFmtId="165" fontId="35" fillId="0" borderId="45" xfId="0" applyNumberFormat="1" applyFont="1" applyBorder="1" applyAlignment="1">
      <alignment horizontal="center" vertical="center"/>
    </xf>
    <xf numFmtId="0" fontId="33" fillId="0" borderId="2" xfId="0" applyFont="1" applyBorder="1"/>
    <xf numFmtId="0" fontId="34" fillId="0" borderId="0" xfId="0" applyFont="1" applyFill="1" applyBorder="1" applyAlignment="1">
      <alignment horizontal="center" vertical="center"/>
    </xf>
    <xf numFmtId="2" fontId="19" fillId="0" borderId="0" xfId="0" applyNumberFormat="1" applyFont="1" applyFill="1" applyBorder="1" applyAlignment="1">
      <alignment vertical="center"/>
    </xf>
    <xf numFmtId="0" fontId="34" fillId="0" borderId="2" xfId="0" applyFont="1" applyFill="1" applyBorder="1" applyAlignment="1">
      <alignment vertical="center"/>
    </xf>
    <xf numFmtId="0" fontId="19" fillId="0" borderId="2" xfId="0" applyFont="1" applyFill="1" applyBorder="1" applyAlignment="1">
      <alignment horizontal="center" vertical="center"/>
    </xf>
    <xf numFmtId="164" fontId="19" fillId="0" borderId="2" xfId="1" applyFont="1" applyFill="1" applyBorder="1" applyAlignment="1">
      <alignment horizontal="right" vertical="center"/>
    </xf>
    <xf numFmtId="0" fontId="19" fillId="0" borderId="2" xfId="0" applyFont="1" applyFill="1" applyBorder="1" applyAlignment="1">
      <alignment horizontal="center" vertical="center" wrapText="1"/>
    </xf>
    <xf numFmtId="0" fontId="34" fillId="0" borderId="66" xfId="0" applyFont="1" applyFill="1" applyBorder="1" applyAlignment="1">
      <alignment vertical="center"/>
    </xf>
    <xf numFmtId="0" fontId="34" fillId="0" borderId="35" xfId="0" applyFont="1" applyFill="1" applyBorder="1" applyAlignment="1">
      <alignment vertical="center"/>
    </xf>
    <xf numFmtId="0" fontId="34" fillId="0" borderId="42" xfId="0" applyFont="1" applyFill="1" applyBorder="1" applyAlignment="1">
      <alignment vertical="center"/>
    </xf>
    <xf numFmtId="0" fontId="34" fillId="0" borderId="43" xfId="0" applyFont="1" applyFill="1" applyBorder="1" applyAlignment="1">
      <alignment vertical="center"/>
    </xf>
    <xf numFmtId="176" fontId="34" fillId="0" borderId="2" xfId="0" applyNumberFormat="1" applyFont="1" applyFill="1" applyBorder="1" applyAlignment="1">
      <alignment horizontal="center" vertical="center"/>
    </xf>
    <xf numFmtId="0" fontId="35" fillId="14" borderId="60" xfId="0" applyFont="1" applyFill="1" applyBorder="1" applyAlignment="1">
      <alignment horizontal="center" vertical="center"/>
    </xf>
    <xf numFmtId="4" fontId="33" fillId="0" borderId="3" xfId="0" applyNumberFormat="1" applyFont="1" applyBorder="1" applyAlignment="1">
      <alignment horizontal="center" vertical="center"/>
    </xf>
    <xf numFmtId="0" fontId="19" fillId="0" borderId="2" xfId="0" applyFont="1" applyFill="1" applyBorder="1" applyAlignment="1">
      <alignment horizontal="center" vertical="center"/>
    </xf>
    <xf numFmtId="0" fontId="34" fillId="20" borderId="0" xfId="0" applyFont="1" applyFill="1" applyAlignment="1">
      <alignment vertical="center"/>
    </xf>
    <xf numFmtId="0" fontId="34" fillId="20" borderId="0" xfId="0" applyFont="1" applyFill="1" applyBorder="1" applyAlignment="1">
      <alignment vertical="center"/>
    </xf>
    <xf numFmtId="0" fontId="34" fillId="20" borderId="0" xfId="0" applyFont="1" applyFill="1" applyBorder="1" applyAlignment="1">
      <alignment horizontal="center" vertical="center"/>
    </xf>
    <xf numFmtId="0" fontId="34" fillId="20" borderId="54" xfId="0" applyFont="1" applyFill="1" applyBorder="1" applyAlignment="1">
      <alignment horizontal="center" vertical="center"/>
    </xf>
    <xf numFmtId="2" fontId="19" fillId="20" borderId="0" xfId="0" applyNumberFormat="1" applyFont="1" applyFill="1" applyBorder="1" applyAlignment="1">
      <alignment vertical="center"/>
    </xf>
    <xf numFmtId="2" fontId="19" fillId="20" borderId="0" xfId="0" applyNumberFormat="1" applyFont="1" applyFill="1" applyAlignment="1">
      <alignment vertical="center"/>
    </xf>
    <xf numFmtId="0" fontId="23" fillId="21" borderId="0" xfId="0" applyFont="1" applyFill="1" applyAlignment="1">
      <alignment vertical="center"/>
    </xf>
    <xf numFmtId="4" fontId="16" fillId="0" borderId="14" xfId="0" applyNumberFormat="1" applyFont="1" applyFill="1" applyBorder="1" applyAlignment="1">
      <alignment horizontal="right" vertical="center" wrapText="1"/>
    </xf>
    <xf numFmtId="4" fontId="16" fillId="0" borderId="26" xfId="0" applyNumberFormat="1" applyFont="1" applyFill="1" applyBorder="1" applyAlignment="1">
      <alignment horizontal="right" vertical="center" wrapText="1"/>
    </xf>
    <xf numFmtId="0" fontId="17" fillId="20" borderId="0" xfId="0" applyFont="1" applyFill="1" applyAlignment="1">
      <alignment horizontal="center" vertical="center"/>
    </xf>
    <xf numFmtId="0" fontId="17" fillId="20" borderId="0" xfId="0" applyFont="1" applyFill="1" applyAlignment="1">
      <alignment vertical="center"/>
    </xf>
    <xf numFmtId="165" fontId="17" fillId="0" borderId="2" xfId="24" applyNumberFormat="1" applyFont="1" applyFill="1" applyBorder="1" applyAlignment="1">
      <alignment horizontal="center" vertical="center" wrapText="1"/>
    </xf>
    <xf numFmtId="43" fontId="17" fillId="20" borderId="0" xfId="0" applyNumberFormat="1" applyFont="1" applyFill="1" applyAlignment="1">
      <alignment horizontal="center" vertical="center"/>
    </xf>
    <xf numFmtId="0" fontId="19" fillId="0" borderId="0" xfId="0" applyFont="1" applyFill="1" applyAlignment="1">
      <alignment horizontal="center" vertical="center"/>
    </xf>
    <xf numFmtId="0" fontId="16" fillId="0" borderId="0" xfId="6" applyFont="1" applyFill="1" applyAlignment="1">
      <alignment vertical="center"/>
    </xf>
    <xf numFmtId="1" fontId="18" fillId="0" borderId="89" xfId="0" applyNumberFormat="1" applyFont="1" applyFill="1" applyBorder="1" applyAlignment="1">
      <alignment horizontal="center" vertical="center"/>
    </xf>
    <xf numFmtId="0" fontId="18" fillId="0" borderId="90" xfId="0" applyFont="1" applyFill="1" applyBorder="1" applyAlignment="1">
      <alignment vertical="center"/>
    </xf>
    <xf numFmtId="0" fontId="18" fillId="0" borderId="91" xfId="0" applyFont="1" applyFill="1" applyBorder="1" applyAlignment="1">
      <alignment horizontal="left" vertical="center"/>
    </xf>
    <xf numFmtId="0" fontId="18" fillId="0" borderId="91" xfId="0" applyFont="1" applyFill="1" applyBorder="1" applyAlignment="1">
      <alignment horizontal="centerContinuous" vertical="center"/>
    </xf>
    <xf numFmtId="0" fontId="18" fillId="0" borderId="91" xfId="0" applyFont="1" applyFill="1" applyBorder="1" applyAlignment="1">
      <alignment horizontal="center" vertical="center"/>
    </xf>
    <xf numFmtId="0" fontId="23" fillId="0" borderId="0" xfId="0" applyFont="1" applyFill="1" applyAlignment="1">
      <alignment vertical="center"/>
    </xf>
    <xf numFmtId="0" fontId="18" fillId="0" borderId="18"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4" fontId="18" fillId="0" borderId="21" xfId="0" applyNumberFormat="1" applyFont="1" applyFill="1" applyBorder="1" applyAlignment="1">
      <alignment vertical="center"/>
    </xf>
    <xf numFmtId="0" fontId="18" fillId="0" borderId="27" xfId="0" applyFont="1" applyFill="1" applyBorder="1" applyAlignment="1">
      <alignment vertical="center"/>
    </xf>
    <xf numFmtId="2" fontId="18" fillId="0" borderId="27" xfId="0" applyNumberFormat="1" applyFont="1" applyFill="1" applyBorder="1" applyAlignment="1">
      <alignment vertical="center"/>
    </xf>
    <xf numFmtId="0" fontId="18" fillId="0" borderId="31" xfId="0" applyFont="1" applyFill="1" applyBorder="1" applyAlignment="1">
      <alignment vertical="center"/>
    </xf>
    <xf numFmtId="0" fontId="18" fillId="0" borderId="32" xfId="0" applyFont="1" applyFill="1" applyBorder="1" applyAlignment="1">
      <alignment vertical="center"/>
    </xf>
    <xf numFmtId="0" fontId="18" fillId="0" borderId="32" xfId="0" applyFont="1" applyFill="1" applyBorder="1" applyAlignment="1">
      <alignment horizontal="center" vertical="center"/>
    </xf>
    <xf numFmtId="2" fontId="18" fillId="0" borderId="32" xfId="0" applyNumberFormat="1" applyFont="1" applyFill="1" applyBorder="1" applyAlignment="1">
      <alignment vertical="center"/>
    </xf>
    <xf numFmtId="4" fontId="18" fillId="0" borderId="33" xfId="0" applyNumberFormat="1" applyFont="1" applyFill="1" applyBorder="1" applyAlignment="1">
      <alignment vertical="center"/>
    </xf>
    <xf numFmtId="0" fontId="16" fillId="0" borderId="0" xfId="0" applyFont="1" applyFill="1" applyAlignment="1">
      <alignment vertical="center"/>
    </xf>
    <xf numFmtId="0" fontId="25" fillId="0" borderId="2" xfId="0" applyFont="1" applyFill="1" applyBorder="1" applyAlignment="1">
      <alignment horizontal="center"/>
    </xf>
    <xf numFmtId="0" fontId="25" fillId="0" borderId="2" xfId="0" applyFont="1" applyFill="1" applyBorder="1" applyAlignment="1">
      <alignment horizontal="center" vertical="center"/>
    </xf>
    <xf numFmtId="0" fontId="39" fillId="0" borderId="2" xfId="0" applyFont="1" applyFill="1" applyBorder="1" applyAlignment="1">
      <alignment horizontal="center" vertical="top"/>
    </xf>
    <xf numFmtId="1" fontId="25" fillId="0" borderId="2" xfId="0" applyNumberFormat="1" applyFont="1" applyFill="1" applyBorder="1" applyAlignment="1">
      <alignment horizontal="center"/>
    </xf>
    <xf numFmtId="0" fontId="17" fillId="0" borderId="9" xfId="0" applyFont="1" applyFill="1" applyBorder="1"/>
    <xf numFmtId="0" fontId="17" fillId="0" borderId="10" xfId="0" applyFont="1" applyFill="1" applyBorder="1"/>
    <xf numFmtId="0" fontId="17" fillId="0" borderId="11" xfId="0" applyFont="1" applyFill="1" applyBorder="1"/>
    <xf numFmtId="0" fontId="17" fillId="0" borderId="0" xfId="0" applyFont="1" applyFill="1"/>
    <xf numFmtId="165" fontId="18" fillId="0" borderId="92" xfId="12" applyNumberFormat="1" applyFont="1" applyFill="1" applyBorder="1" applyAlignment="1">
      <alignment horizontal="center" vertical="center" wrapText="1"/>
    </xf>
    <xf numFmtId="165" fontId="18" fillId="0" borderId="93" xfId="12" applyNumberFormat="1" applyFont="1" applyFill="1" applyBorder="1" applyAlignment="1">
      <alignment horizontal="center" vertical="center" wrapText="1"/>
    </xf>
    <xf numFmtId="165" fontId="18" fillId="0" borderId="94" xfId="12" applyNumberFormat="1" applyFont="1" applyFill="1" applyBorder="1" applyAlignment="1">
      <alignment horizontal="center" vertical="center" wrapText="1"/>
    </xf>
    <xf numFmtId="0" fontId="17" fillId="0" borderId="0" xfId="0" applyFont="1" applyFill="1" applyAlignment="1">
      <alignment vertical="center"/>
    </xf>
    <xf numFmtId="0" fontId="16" fillId="0" borderId="2" xfId="12" applyNumberFormat="1" applyFont="1" applyFill="1" applyBorder="1" applyAlignment="1">
      <alignment horizontal="center" vertical="center"/>
    </xf>
    <xf numFmtId="167" fontId="16" fillId="0" borderId="2" xfId="12" applyNumberFormat="1" applyFont="1" applyFill="1" applyBorder="1" applyAlignment="1">
      <alignment horizontal="center" vertical="center"/>
    </xf>
    <xf numFmtId="165" fontId="16" fillId="0" borderId="5" xfId="10" applyNumberFormat="1" applyFont="1" applyFill="1" applyBorder="1" applyAlignment="1">
      <alignment horizontal="center" vertical="center"/>
    </xf>
    <xf numFmtId="165" fontId="16" fillId="0" borderId="1" xfId="12" quotePrefix="1" applyNumberFormat="1" applyFont="1" applyFill="1" applyBorder="1" applyAlignment="1">
      <alignment horizontal="center" vertical="center"/>
    </xf>
    <xf numFmtId="165" fontId="16" fillId="0" borderId="2" xfId="12" quotePrefix="1" applyNumberFormat="1" applyFont="1" applyFill="1" applyBorder="1" applyAlignment="1">
      <alignment horizontal="center" vertical="center"/>
    </xf>
    <xf numFmtId="165" fontId="18" fillId="0" borderId="5" xfId="13" applyNumberFormat="1" applyFont="1" applyFill="1" applyBorder="1" applyAlignment="1">
      <alignment horizontal="center" vertical="center"/>
    </xf>
    <xf numFmtId="0" fontId="17" fillId="0" borderId="35" xfId="0" applyFont="1" applyFill="1" applyBorder="1"/>
    <xf numFmtId="0" fontId="17" fillId="0" borderId="0" xfId="0" applyFont="1" applyFill="1" applyBorder="1"/>
    <xf numFmtId="0" fontId="17" fillId="0" borderId="36" xfId="0" applyFont="1" applyFill="1" applyBorder="1"/>
    <xf numFmtId="0" fontId="16" fillId="0" borderId="2" xfId="0" applyFont="1" applyFill="1" applyBorder="1" applyAlignment="1">
      <alignment horizontal="center"/>
    </xf>
    <xf numFmtId="0" fontId="16" fillId="0" borderId="2" xfId="0" applyFont="1" applyFill="1" applyBorder="1" applyAlignment="1">
      <alignment horizontal="center" vertical="center"/>
    </xf>
    <xf numFmtId="0" fontId="23" fillId="0" borderId="5" xfId="0" applyFont="1" applyFill="1" applyBorder="1" applyAlignment="1">
      <alignment horizontal="center" vertical="top"/>
    </xf>
    <xf numFmtId="1" fontId="16" fillId="0" borderId="2" xfId="0" applyNumberFormat="1" applyFont="1" applyFill="1" applyBorder="1" applyAlignment="1">
      <alignment horizontal="center" vertical="center"/>
    </xf>
    <xf numFmtId="0" fontId="23" fillId="0" borderId="2" xfId="0" applyFont="1" applyFill="1" applyBorder="1" applyAlignment="1">
      <alignment horizontal="center" vertical="center"/>
    </xf>
    <xf numFmtId="0" fontId="23" fillId="0" borderId="5" xfId="0" applyFont="1" applyFill="1" applyBorder="1" applyAlignment="1">
      <alignment horizontal="center" vertical="center"/>
    </xf>
    <xf numFmtId="1" fontId="16" fillId="0" borderId="7"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65" fontId="16" fillId="0" borderId="46" xfId="12" applyNumberFormat="1" applyFont="1" applyFill="1" applyBorder="1" applyAlignment="1">
      <alignment horizontal="center" vertical="center"/>
    </xf>
    <xf numFmtId="165" fontId="16" fillId="0" borderId="66" xfId="12" applyNumberFormat="1" applyFont="1" applyFill="1" applyBorder="1" applyAlignment="1">
      <alignment horizontal="center" vertical="center"/>
    </xf>
    <xf numFmtId="0" fontId="16" fillId="0" borderId="66" xfId="12" applyFont="1" applyFill="1" applyBorder="1" applyAlignment="1">
      <alignment horizontal="center" vertical="center"/>
    </xf>
    <xf numFmtId="0" fontId="17" fillId="0" borderId="66" xfId="12" applyFont="1" applyFill="1" applyBorder="1" applyAlignment="1">
      <alignment horizontal="center" vertical="center"/>
    </xf>
    <xf numFmtId="0" fontId="23" fillId="0" borderId="1" xfId="0" applyFont="1" applyFill="1" applyBorder="1" applyAlignment="1">
      <alignment horizontal="center" vertical="center"/>
    </xf>
    <xf numFmtId="0" fontId="23" fillId="0" borderId="1" xfId="0" applyFont="1" applyFill="1" applyBorder="1" applyAlignment="1">
      <alignment vertical="center"/>
    </xf>
    <xf numFmtId="0" fontId="23" fillId="0" borderId="59" xfId="0" applyFont="1" applyFill="1" applyBorder="1" applyAlignment="1">
      <alignment vertical="center"/>
    </xf>
    <xf numFmtId="0" fontId="23" fillId="0" borderId="71" xfId="0" applyFont="1" applyFill="1" applyBorder="1" applyAlignment="1">
      <alignment vertical="center"/>
    </xf>
    <xf numFmtId="0" fontId="18" fillId="0" borderId="63" xfId="0" applyFont="1" applyFill="1" applyBorder="1" applyAlignment="1">
      <alignment vertical="center"/>
    </xf>
    <xf numFmtId="0" fontId="18" fillId="0" borderId="63" xfId="0" applyFont="1" applyFill="1" applyBorder="1" applyAlignment="1">
      <alignment horizontal="center" vertical="center"/>
    </xf>
    <xf numFmtId="2" fontId="18" fillId="0" borderId="63" xfId="0" applyNumberFormat="1" applyFont="1" applyFill="1" applyBorder="1" applyAlignment="1">
      <alignment vertical="center"/>
    </xf>
    <xf numFmtId="4" fontId="18" fillId="0" borderId="72" xfId="0" applyNumberFormat="1" applyFont="1" applyFill="1" applyBorder="1" applyAlignment="1">
      <alignment vertical="center"/>
    </xf>
    <xf numFmtId="0" fontId="17" fillId="0" borderId="0" xfId="0" applyFont="1" applyFill="1" applyBorder="1" applyAlignment="1">
      <alignment horizontal="center" vertical="center"/>
    </xf>
    <xf numFmtId="0" fontId="21" fillId="0" borderId="0" xfId="0" applyFont="1" applyFill="1" applyBorder="1" applyAlignment="1">
      <alignment horizontal="center" vertical="center"/>
    </xf>
    <xf numFmtId="165" fontId="18" fillId="0" borderId="0" xfId="12" applyNumberFormat="1" applyFont="1" applyFill="1" applyBorder="1" applyAlignment="1">
      <alignment horizontal="center" vertical="center" wrapText="1"/>
    </xf>
    <xf numFmtId="0" fontId="18" fillId="0" borderId="0" xfId="6" applyFont="1" applyFill="1" applyBorder="1" applyAlignment="1">
      <alignment horizontal="center" vertical="center"/>
    </xf>
    <xf numFmtId="165" fontId="18" fillId="0" borderId="0" xfId="12" applyNumberFormat="1" applyFont="1" applyFill="1" applyBorder="1" applyAlignment="1">
      <alignment horizontal="center" vertical="center"/>
    </xf>
    <xf numFmtId="165" fontId="16" fillId="0" borderId="0" xfId="10" applyNumberFormat="1" applyFont="1" applyFill="1" applyBorder="1" applyAlignment="1">
      <alignment horizontal="center" vertical="center"/>
    </xf>
    <xf numFmtId="165" fontId="16" fillId="0" borderId="6" xfId="12" quotePrefix="1" applyNumberFormat="1" applyFont="1" applyFill="1" applyBorder="1" applyAlignment="1">
      <alignment horizontal="center" vertical="center"/>
    </xf>
    <xf numFmtId="165" fontId="16" fillId="0" borderId="7" xfId="12" quotePrefix="1" applyNumberFormat="1" applyFont="1" applyFill="1" applyBorder="1" applyAlignment="1">
      <alignment horizontal="center" vertical="center"/>
    </xf>
    <xf numFmtId="165" fontId="18" fillId="0" borderId="8" xfId="13" applyNumberFormat="1" applyFont="1" applyFill="1" applyBorder="1" applyAlignment="1">
      <alignment horizontal="center" vertical="center"/>
    </xf>
    <xf numFmtId="0" fontId="17" fillId="0" borderId="0" xfId="0" applyFont="1" applyFill="1" applyAlignment="1">
      <alignment horizontal="center" vertical="center"/>
    </xf>
    <xf numFmtId="0" fontId="16" fillId="0" borderId="2" xfId="12" applyFont="1" applyFill="1" applyBorder="1" applyAlignment="1">
      <alignment horizontal="justify" vertical="center" wrapText="1"/>
    </xf>
    <xf numFmtId="0" fontId="16" fillId="0" borderId="73" xfId="12" applyNumberFormat="1" applyFont="1" applyFill="1" applyBorder="1" applyAlignment="1">
      <alignment horizontal="center" vertical="center"/>
    </xf>
    <xf numFmtId="0" fontId="16" fillId="0" borderId="73" xfId="12" applyFont="1" applyFill="1" applyBorder="1" applyAlignment="1">
      <alignment horizontal="justify" vertical="center" wrapText="1"/>
    </xf>
    <xf numFmtId="0" fontId="17" fillId="0" borderId="98" xfId="0" applyFont="1" applyFill="1" applyBorder="1"/>
    <xf numFmtId="0" fontId="17" fillId="0" borderId="98" xfId="0" applyFont="1" applyFill="1" applyBorder="1" applyAlignment="1">
      <alignment horizontal="center" vertical="center"/>
    </xf>
    <xf numFmtId="0" fontId="34" fillId="0" borderId="0" xfId="0" applyFont="1" applyFill="1" applyBorder="1" applyAlignment="1">
      <alignment horizontal="center" vertical="center" wrapText="1"/>
    </xf>
    <xf numFmtId="169" fontId="39" fillId="0" borderId="2" xfId="0" applyNumberFormat="1" applyFont="1" applyFill="1" applyBorder="1" applyAlignment="1">
      <alignment horizontal="center" vertical="top"/>
    </xf>
    <xf numFmtId="0" fontId="35" fillId="0" borderId="35" xfId="5" applyFont="1" applyFill="1" applyBorder="1" applyAlignment="1">
      <alignment vertical="center"/>
    </xf>
    <xf numFmtId="0" fontId="35" fillId="0" borderId="0" xfId="5" applyFont="1" applyFill="1" applyBorder="1" applyAlignment="1">
      <alignment vertical="center"/>
    </xf>
    <xf numFmtId="0" fontId="33" fillId="0" borderId="73" xfId="0" applyFont="1" applyFill="1" applyBorder="1" applyAlignment="1">
      <alignment horizontal="center" vertical="center" wrapText="1"/>
    </xf>
    <xf numFmtId="0" fontId="33" fillId="0" borderId="2" xfId="0" applyFont="1" applyFill="1" applyBorder="1" applyAlignment="1">
      <alignment horizontal="center" vertical="center"/>
    </xf>
    <xf numFmtId="2" fontId="33" fillId="0" borderId="2" xfId="5" applyNumberFormat="1" applyFont="1" applyFill="1" applyBorder="1" applyAlignment="1">
      <alignment horizontal="center" vertical="center" wrapText="1"/>
    </xf>
    <xf numFmtId="4" fontId="33" fillId="0" borderId="2" xfId="5" applyNumberFormat="1" applyFont="1" applyFill="1" applyBorder="1" applyAlignment="1">
      <alignment horizontal="center" vertical="center"/>
    </xf>
    <xf numFmtId="0" fontId="33" fillId="0" borderId="2" xfId="0" applyFont="1" applyFill="1" applyBorder="1"/>
    <xf numFmtId="0" fontId="38" fillId="0" borderId="2" xfId="0" applyFont="1" applyFill="1" applyBorder="1" applyAlignment="1">
      <alignment horizontal="center" vertical="center"/>
    </xf>
    <xf numFmtId="0" fontId="33" fillId="0" borderId="66" xfId="0" applyFont="1" applyFill="1" applyBorder="1"/>
    <xf numFmtId="2" fontId="33" fillId="0" borderId="2" xfId="5" applyNumberFormat="1" applyFont="1" applyFill="1" applyBorder="1" applyAlignment="1">
      <alignment horizontal="left" vertical="center" wrapText="1"/>
    </xf>
    <xf numFmtId="4" fontId="35" fillId="12" borderId="107" xfId="30" applyNumberFormat="1" applyFont="1" applyFill="1" applyBorder="1" applyAlignment="1">
      <alignment horizontal="center" vertical="center"/>
    </xf>
    <xf numFmtId="4" fontId="35" fillId="12" borderId="45" xfId="30" applyNumberFormat="1" applyFont="1" applyFill="1" applyBorder="1" applyAlignment="1">
      <alignment horizontal="center" vertical="center"/>
    </xf>
    <xf numFmtId="0" fontId="19" fillId="0" borderId="2" xfId="0" applyFont="1" applyFill="1" applyBorder="1" applyAlignment="1">
      <alignment horizontal="left" vertical="center"/>
    </xf>
    <xf numFmtId="0" fontId="34" fillId="0" borderId="2" xfId="0" applyFont="1" applyFill="1" applyBorder="1" applyAlignment="1">
      <alignment horizontal="left" vertical="center"/>
    </xf>
    <xf numFmtId="176" fontId="34" fillId="0" borderId="2" xfId="0" applyNumberFormat="1" applyFont="1" applyFill="1" applyBorder="1" applyAlignment="1">
      <alignment horizontal="center" vertical="center" wrapText="1"/>
    </xf>
    <xf numFmtId="0" fontId="34" fillId="20" borderId="0" xfId="0" applyFont="1" applyFill="1" applyBorder="1" applyAlignment="1">
      <alignment horizontal="center" vertical="center" wrapText="1"/>
    </xf>
    <xf numFmtId="0" fontId="34" fillId="20" borderId="54" xfId="0" applyFont="1" applyFill="1" applyBorder="1" applyAlignment="1">
      <alignment horizontal="center" vertical="center" wrapText="1"/>
    </xf>
    <xf numFmtId="0" fontId="34" fillId="0" borderId="2" xfId="0" applyFont="1" applyFill="1" applyBorder="1" applyAlignment="1">
      <alignment horizontal="left" vertical="center" wrapText="1"/>
    </xf>
    <xf numFmtId="0" fontId="35" fillId="0" borderId="0" xfId="5" applyFont="1" applyFill="1" applyBorder="1" applyAlignment="1">
      <alignment horizontal="center" vertical="center"/>
    </xf>
    <xf numFmtId="4" fontId="33" fillId="0" borderId="3" xfId="5" applyNumberFormat="1" applyFont="1" applyFill="1" applyBorder="1" applyAlignment="1">
      <alignment horizontal="center" vertical="center"/>
    </xf>
    <xf numFmtId="165" fontId="33" fillId="0" borderId="2" xfId="0" applyNumberFormat="1"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Border="1"/>
    <xf numFmtId="0" fontId="35" fillId="14" borderId="73" xfId="0" applyFont="1" applyFill="1" applyBorder="1" applyAlignment="1">
      <alignment horizontal="center" vertical="center"/>
    </xf>
    <xf numFmtId="2" fontId="35" fillId="14" borderId="130" xfId="0" applyNumberFormat="1" applyFont="1" applyFill="1" applyBorder="1" applyAlignment="1">
      <alignment horizontal="center" vertical="center"/>
    </xf>
    <xf numFmtId="0" fontId="11" fillId="14" borderId="73" xfId="0" applyFont="1" applyFill="1" applyBorder="1" applyAlignment="1">
      <alignment horizontal="center" vertical="center" wrapText="1"/>
    </xf>
    <xf numFmtId="0" fontId="33" fillId="14" borderId="73" xfId="0" applyFont="1" applyFill="1" applyBorder="1" applyAlignment="1">
      <alignment horizontal="center" vertical="center" wrapText="1"/>
    </xf>
    <xf numFmtId="0" fontId="33" fillId="14" borderId="73" xfId="0" applyFont="1" applyFill="1" applyBorder="1" applyAlignment="1">
      <alignment horizontal="center" vertical="center"/>
    </xf>
    <xf numFmtId="0" fontId="33" fillId="0" borderId="73" xfId="0" applyFont="1" applyBorder="1" applyAlignment="1">
      <alignment horizontal="center" vertical="center"/>
    </xf>
    <xf numFmtId="0" fontId="35" fillId="14" borderId="3" xfId="0" applyFont="1" applyFill="1" applyBorder="1" applyAlignment="1">
      <alignment horizontal="center" vertical="center"/>
    </xf>
    <xf numFmtId="0" fontId="35" fillId="14" borderId="130" xfId="0" applyFont="1" applyFill="1" applyBorder="1" applyAlignment="1">
      <alignment horizontal="center" vertical="center"/>
    </xf>
    <xf numFmtId="0" fontId="33" fillId="0" borderId="131" xfId="0" applyFont="1" applyFill="1" applyBorder="1" applyAlignment="1">
      <alignment horizontal="center" vertical="center" wrapText="1"/>
    </xf>
    <xf numFmtId="4" fontId="33" fillId="0" borderId="73" xfId="0" applyNumberFormat="1" applyFont="1" applyBorder="1" applyAlignment="1">
      <alignment horizontal="center" vertical="center"/>
    </xf>
    <xf numFmtId="2" fontId="33" fillId="0" borderId="2" xfId="0" applyNumberFormat="1" applyFont="1" applyBorder="1" applyAlignment="1">
      <alignment horizontal="center" vertical="center"/>
    </xf>
    <xf numFmtId="164" fontId="19" fillId="6" borderId="2" xfId="1" applyFont="1" applyFill="1" applyBorder="1" applyAlignment="1">
      <alignment vertical="center"/>
    </xf>
    <xf numFmtId="0" fontId="34" fillId="0" borderId="3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164" fontId="34" fillId="0" borderId="2" xfId="1" applyFont="1" applyFill="1" applyBorder="1" applyAlignment="1">
      <alignment vertical="center" wrapText="1"/>
    </xf>
    <xf numFmtId="44" fontId="34" fillId="0" borderId="2" xfId="1" applyNumberFormat="1" applyFont="1" applyFill="1" applyBorder="1" applyAlignment="1">
      <alignment vertical="center" wrapText="1"/>
    </xf>
    <xf numFmtId="44" fontId="34" fillId="0" borderId="2" xfId="1" applyNumberFormat="1" applyFont="1" applyFill="1" applyBorder="1" applyAlignment="1">
      <alignment horizontal="right" vertical="center" wrapText="1"/>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2" xfId="0" applyFont="1" applyFill="1" applyBorder="1" applyAlignment="1">
      <alignment vertical="center"/>
    </xf>
    <xf numFmtId="0" fontId="19" fillId="0" borderId="0" xfId="0" applyFont="1" applyFill="1" applyAlignment="1">
      <alignment vertical="center"/>
    </xf>
    <xf numFmtId="0" fontId="19" fillId="20" borderId="0" xfId="0" applyFont="1" applyFill="1" applyAlignment="1">
      <alignment vertical="center"/>
    </xf>
    <xf numFmtId="165" fontId="19" fillId="0" borderId="2" xfId="26" applyFont="1" applyFill="1" applyBorder="1" applyAlignment="1">
      <alignment horizontal="center" vertical="center" wrapText="1"/>
    </xf>
    <xf numFmtId="164" fontId="19" fillId="0" borderId="2" xfId="1" applyFont="1" applyFill="1" applyBorder="1" applyAlignment="1">
      <alignment horizontal="right" vertical="center" wrapText="1"/>
    </xf>
    <xf numFmtId="164" fontId="19" fillId="0" borderId="2" xfId="1" applyFont="1" applyFill="1" applyBorder="1" applyAlignment="1">
      <alignment vertical="center"/>
    </xf>
    <xf numFmtId="0" fontId="40" fillId="0" borderId="66" xfId="0" applyFont="1" applyBorder="1" applyAlignment="1">
      <alignment horizontal="center" vertical="center"/>
    </xf>
    <xf numFmtId="0" fontId="40" fillId="0" borderId="2" xfId="0" applyFont="1" applyBorder="1" applyAlignment="1">
      <alignment horizontal="center" vertical="center"/>
    </xf>
    <xf numFmtId="0" fontId="40" fillId="0" borderId="73" xfId="0" applyFont="1" applyBorder="1" applyAlignment="1">
      <alignment horizontal="center" vertical="center"/>
    </xf>
    <xf numFmtId="177" fontId="35" fillId="7" borderId="10" xfId="5" applyNumberFormat="1" applyFont="1" applyFill="1" applyBorder="1" applyAlignment="1">
      <alignment vertical="center"/>
    </xf>
    <xf numFmtId="177" fontId="35" fillId="7" borderId="40" xfId="5" applyNumberFormat="1" applyFont="1" applyFill="1" applyBorder="1" applyAlignment="1">
      <alignment vertical="center"/>
    </xf>
    <xf numFmtId="177" fontId="37" fillId="14" borderId="2" xfId="21" applyNumberFormat="1" applyFont="1" applyFill="1" applyBorder="1" applyAlignment="1">
      <alignment horizontal="center" vertical="center" wrapText="1"/>
    </xf>
    <xf numFmtId="177" fontId="37" fillId="14" borderId="2" xfId="5" applyNumberFormat="1" applyFont="1" applyFill="1" applyBorder="1" applyAlignment="1">
      <alignment horizontal="center" vertical="center"/>
    </xf>
    <xf numFmtId="177" fontId="37" fillId="14" borderId="79" xfId="5" applyNumberFormat="1" applyFont="1" applyFill="1" applyBorder="1" applyAlignment="1">
      <alignment horizontal="center" vertical="center"/>
    </xf>
    <xf numFmtId="177" fontId="35" fillId="0" borderId="0" xfId="5" applyNumberFormat="1" applyFont="1" applyFill="1" applyBorder="1" applyAlignment="1">
      <alignment vertical="center"/>
    </xf>
    <xf numFmtId="177" fontId="33" fillId="0" borderId="2" xfId="5" applyNumberFormat="1" applyFont="1" applyFill="1" applyBorder="1" applyAlignment="1">
      <alignment horizontal="center" vertical="center"/>
    </xf>
    <xf numFmtId="177" fontId="35" fillId="12" borderId="45" xfId="30" applyNumberFormat="1" applyFont="1" applyFill="1" applyBorder="1" applyAlignment="1">
      <alignment horizontal="center" vertical="center"/>
    </xf>
    <xf numFmtId="177" fontId="33" fillId="0" borderId="0" xfId="5" applyNumberFormat="1" applyFont="1" applyFill="1" applyAlignment="1">
      <alignment horizontal="center" vertical="center"/>
    </xf>
    <xf numFmtId="169" fontId="40" fillId="7" borderId="77" xfId="0" applyNumberFormat="1" applyFont="1" applyFill="1" applyBorder="1" applyAlignment="1">
      <alignment horizontal="center" vertical="center"/>
    </xf>
    <xf numFmtId="0" fontId="16" fillId="7" borderId="23" xfId="0" applyFont="1" applyFill="1" applyBorder="1" applyAlignment="1">
      <alignment horizontal="center" vertical="center"/>
    </xf>
    <xf numFmtId="0" fontId="16" fillId="7" borderId="2" xfId="12" applyNumberFormat="1" applyFont="1" applyFill="1" applyBorder="1" applyAlignment="1">
      <alignment horizontal="center" vertical="center"/>
    </xf>
    <xf numFmtId="0" fontId="43" fillId="0" borderId="0" xfId="0" applyFont="1" applyAlignment="1">
      <alignment horizontal="center" vertical="center"/>
    </xf>
    <xf numFmtId="0" fontId="43" fillId="13" borderId="62" xfId="0" applyFont="1" applyFill="1" applyBorder="1" applyAlignment="1">
      <alignment horizontal="center" vertical="center"/>
    </xf>
    <xf numFmtId="0" fontId="43" fillId="13" borderId="63" xfId="0" applyFont="1" applyFill="1" applyBorder="1" applyAlignment="1">
      <alignment horizontal="center" vertical="center"/>
    </xf>
    <xf numFmtId="0" fontId="43" fillId="13" borderId="100" xfId="0" applyFont="1" applyFill="1" applyBorder="1" applyAlignment="1">
      <alignment horizontal="center" vertical="center"/>
    </xf>
    <xf numFmtId="0" fontId="44" fillId="0" borderId="0" xfId="0" applyFont="1" applyAlignment="1">
      <alignment horizontal="center" vertical="center"/>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41" fillId="7" borderId="35" xfId="0" applyFont="1" applyFill="1" applyBorder="1" applyAlignment="1">
      <alignment horizontal="center" vertical="center" wrapText="1"/>
    </xf>
    <xf numFmtId="0" fontId="41" fillId="7" borderId="0" xfId="0" applyFont="1" applyFill="1" applyBorder="1" applyAlignment="1">
      <alignment horizontal="center" vertical="center" wrapText="1"/>
    </xf>
    <xf numFmtId="0" fontId="41" fillId="7" borderId="36" xfId="0" applyFont="1" applyFill="1" applyBorder="1" applyAlignment="1">
      <alignment horizontal="center" vertical="center" wrapText="1"/>
    </xf>
    <xf numFmtId="0" fontId="25" fillId="7" borderId="35"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5" fillId="7" borderId="36"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41" fillId="15" borderId="41" xfId="0" applyFont="1" applyFill="1" applyBorder="1" applyAlignment="1">
      <alignment horizontal="center" vertical="center" wrapText="1"/>
    </xf>
    <xf numFmtId="0" fontId="41" fillId="0" borderId="42"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58" xfId="0" applyFont="1" applyBorder="1" applyAlignment="1">
      <alignment horizontal="center" vertical="center" wrapText="1"/>
    </xf>
    <xf numFmtId="2" fontId="19" fillId="0" borderId="0" xfId="0" applyNumberFormat="1" applyFont="1" applyFill="1" applyBorder="1" applyAlignment="1">
      <alignment vertical="center"/>
    </xf>
    <xf numFmtId="0" fontId="19" fillId="0" borderId="0" xfId="0" applyFont="1" applyFill="1" applyBorder="1" applyAlignment="1">
      <alignment horizontal="center" vertical="center" wrapText="1"/>
    </xf>
    <xf numFmtId="2" fontId="19" fillId="0" borderId="0" xfId="0" applyNumberFormat="1" applyFont="1" applyAlignment="1">
      <alignment vertical="center"/>
    </xf>
    <xf numFmtId="2" fontId="19" fillId="20" borderId="0" xfId="0" applyNumberFormat="1" applyFont="1" applyFill="1" applyAlignment="1">
      <alignment vertical="center"/>
    </xf>
    <xf numFmtId="2" fontId="19" fillId="20" borderId="0" xfId="0" applyNumberFormat="1" applyFont="1" applyFill="1" applyBorder="1" applyAlignment="1">
      <alignment vertical="center"/>
    </xf>
    <xf numFmtId="0" fontId="32" fillId="0" borderId="66"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62"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6" borderId="62" xfId="0" applyFont="1" applyFill="1" applyBorder="1" applyAlignment="1">
      <alignment horizontal="center" vertical="center" wrapText="1"/>
    </xf>
    <xf numFmtId="0" fontId="19" fillId="6" borderId="63" xfId="0" applyFont="1" applyFill="1" applyBorder="1" applyAlignment="1">
      <alignment horizontal="center" vertical="center" wrapText="1"/>
    </xf>
    <xf numFmtId="0" fontId="19" fillId="6" borderId="64" xfId="0" applyFont="1" applyFill="1" applyBorder="1" applyAlignment="1">
      <alignment horizontal="center" vertical="center" wrapText="1"/>
    </xf>
    <xf numFmtId="0" fontId="19" fillId="0" borderId="2" xfId="0" applyFont="1" applyFill="1" applyBorder="1" applyAlignment="1">
      <alignment horizontal="righ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right" vertical="center"/>
    </xf>
    <xf numFmtId="0" fontId="34" fillId="22" borderId="0" xfId="0" applyFont="1" applyFill="1" applyAlignment="1">
      <alignment horizontal="center" vertical="center"/>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34" fillId="0" borderId="0" xfId="0" applyFont="1" applyFill="1" applyAlignment="1">
      <alignment horizontal="center" vertical="center"/>
    </xf>
    <xf numFmtId="0" fontId="19" fillId="6" borderId="2" xfId="0" applyFont="1" applyFill="1" applyBorder="1" applyAlignment="1">
      <alignment horizontal="right" vertical="center"/>
    </xf>
    <xf numFmtId="0" fontId="35" fillId="14" borderId="102" xfId="0" applyFont="1" applyFill="1" applyBorder="1" applyAlignment="1">
      <alignment horizontal="center" vertical="center"/>
    </xf>
    <xf numFmtId="0" fontId="35" fillId="14" borderId="99" xfId="0" applyFont="1" applyFill="1" applyBorder="1" applyAlignment="1">
      <alignment horizontal="center" vertical="center"/>
    </xf>
    <xf numFmtId="0" fontId="35" fillId="14" borderId="66" xfId="0" applyFont="1" applyFill="1" applyBorder="1" applyAlignment="1">
      <alignment horizontal="center" vertical="center"/>
    </xf>
    <xf numFmtId="0" fontId="45" fillId="14" borderId="101" xfId="0" applyFont="1" applyFill="1" applyBorder="1" applyAlignment="1">
      <alignment horizontal="center" vertical="center"/>
    </xf>
    <xf numFmtId="0" fontId="45" fillId="14" borderId="1" xfId="0" applyFont="1" applyFill="1" applyBorder="1" applyAlignment="1">
      <alignment horizontal="center" vertical="center"/>
    </xf>
    <xf numFmtId="0" fontId="45" fillId="14" borderId="6" xfId="0" applyFont="1" applyFill="1" applyBorder="1" applyAlignment="1">
      <alignment horizontal="center" vertical="center"/>
    </xf>
    <xf numFmtId="0" fontId="45" fillId="14" borderId="75" xfId="0" applyFont="1" applyFill="1" applyBorder="1" applyAlignment="1">
      <alignment horizontal="center" vertical="center"/>
    </xf>
    <xf numFmtId="0" fontId="45" fillId="14" borderId="2" xfId="0" applyFont="1" applyFill="1" applyBorder="1" applyAlignment="1">
      <alignment horizontal="center" vertical="center"/>
    </xf>
    <xf numFmtId="0" fontId="45" fillId="14" borderId="7" xfId="0" applyFont="1" applyFill="1" applyBorder="1" applyAlignment="1">
      <alignment horizontal="center" vertical="center"/>
    </xf>
    <xf numFmtId="0" fontId="35" fillId="14" borderId="75"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35" fillId="0" borderId="42" xfId="0" applyFont="1" applyFill="1" applyBorder="1" applyAlignment="1">
      <alignment horizontal="center" vertical="center"/>
    </xf>
    <xf numFmtId="0" fontId="35" fillId="0" borderId="43" xfId="0" applyFont="1" applyFill="1" applyBorder="1" applyAlignment="1">
      <alignment horizontal="center" vertical="center"/>
    </xf>
    <xf numFmtId="0" fontId="35" fillId="14" borderId="9" xfId="0" applyFont="1" applyFill="1" applyBorder="1" applyAlignment="1">
      <alignment horizontal="center" vertical="center"/>
    </xf>
    <xf numFmtId="0" fontId="35" fillId="14" borderId="10" xfId="0" applyFont="1" applyFill="1" applyBorder="1" applyAlignment="1">
      <alignment horizontal="center" vertical="center"/>
    </xf>
    <xf numFmtId="0" fontId="35" fillId="14" borderId="11" xfId="0" applyFont="1" applyFill="1" applyBorder="1" applyAlignment="1">
      <alignment horizontal="center" vertical="center"/>
    </xf>
    <xf numFmtId="0" fontId="35" fillId="14" borderId="47" xfId="0" applyFont="1" applyFill="1" applyBorder="1" applyAlignment="1">
      <alignment horizontal="center" vertical="center" wrapText="1"/>
    </xf>
    <xf numFmtId="0" fontId="35" fillId="14" borderId="3" xfId="0" applyFont="1" applyFill="1" applyBorder="1" applyAlignment="1">
      <alignment horizontal="center" vertical="center" wrapText="1"/>
    </xf>
    <xf numFmtId="0" fontId="35" fillId="14" borderId="75" xfId="0" applyFont="1" applyFill="1" applyBorder="1" applyAlignment="1">
      <alignment horizontal="center" vertical="center"/>
    </xf>
    <xf numFmtId="0" fontId="35" fillId="14" borderId="2" xfId="0" applyFont="1" applyFill="1" applyBorder="1" applyAlignment="1">
      <alignment horizontal="center" vertical="center"/>
    </xf>
    <xf numFmtId="0" fontId="35" fillId="0" borderId="62" xfId="0" applyFont="1" applyFill="1" applyBorder="1" applyAlignment="1">
      <alignment horizontal="center" vertical="center"/>
    </xf>
    <xf numFmtId="0" fontId="35" fillId="0" borderId="63" xfId="0" applyFont="1" applyFill="1" applyBorder="1" applyAlignment="1">
      <alignment horizontal="center" vertical="center"/>
    </xf>
    <xf numFmtId="0" fontId="33" fillId="0" borderId="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34" xfId="0" applyFont="1" applyBorder="1" applyAlignment="1">
      <alignment horizontal="center" vertical="center"/>
    </xf>
    <xf numFmtId="0" fontId="35" fillId="0" borderId="2" xfId="0" applyFont="1" applyBorder="1" applyAlignment="1">
      <alignment horizontal="center" vertical="center"/>
    </xf>
    <xf numFmtId="2" fontId="35" fillId="0" borderId="2" xfId="0" applyNumberFormat="1" applyFont="1" applyBorder="1" applyAlignment="1">
      <alignment horizontal="center" vertical="center" wrapText="1"/>
    </xf>
    <xf numFmtId="0" fontId="33" fillId="0" borderId="2" xfId="0" applyFont="1" applyBorder="1" applyAlignment="1">
      <alignment horizontal="center" vertical="center" wrapText="1"/>
    </xf>
    <xf numFmtId="2" fontId="33" fillId="0" borderId="3" xfId="0" applyNumberFormat="1" applyFont="1" applyBorder="1" applyAlignment="1">
      <alignment horizontal="center" vertical="center" wrapText="1"/>
    </xf>
    <xf numFmtId="2" fontId="33" fillId="0" borderId="4" xfId="0" applyNumberFormat="1" applyFont="1" applyBorder="1" applyAlignment="1">
      <alignment horizontal="center" vertical="center" wrapText="1"/>
    </xf>
    <xf numFmtId="2" fontId="33" fillId="0" borderId="34" xfId="0" applyNumberFormat="1" applyFont="1" applyBorder="1" applyAlignment="1">
      <alignment horizontal="center" vertical="center" wrapText="1"/>
    </xf>
    <xf numFmtId="0" fontId="35" fillId="13" borderId="2" xfId="0" applyFont="1" applyFill="1" applyBorder="1" applyAlignment="1">
      <alignment horizontal="center" vertical="center"/>
    </xf>
    <xf numFmtId="0" fontId="35" fillId="7" borderId="35" xfId="0" applyFont="1" applyFill="1" applyBorder="1" applyAlignment="1">
      <alignment horizontal="center"/>
    </xf>
    <xf numFmtId="0" fontId="35" fillId="7" borderId="0" xfId="0" applyFont="1" applyFill="1" applyBorder="1" applyAlignment="1">
      <alignment horizontal="center"/>
    </xf>
    <xf numFmtId="0" fontId="35" fillId="7" borderId="36" xfId="0" applyFont="1" applyFill="1" applyBorder="1" applyAlignment="1">
      <alignment horizontal="center"/>
    </xf>
    <xf numFmtId="165" fontId="35" fillId="15" borderId="39" xfId="12" applyNumberFormat="1" applyFont="1" applyFill="1" applyBorder="1" applyAlignment="1">
      <alignment horizontal="center" vertical="center" wrapText="1"/>
    </xf>
    <xf numFmtId="165" fontId="35" fillId="15" borderId="40" xfId="12" applyNumberFormat="1" applyFont="1" applyFill="1" applyBorder="1" applyAlignment="1">
      <alignment horizontal="center" vertical="center" wrapText="1"/>
    </xf>
    <xf numFmtId="165" fontId="35" fillId="15" borderId="41" xfId="12" applyNumberFormat="1" applyFont="1" applyFill="1" applyBorder="1" applyAlignment="1">
      <alignment horizontal="center" vertical="center" wrapText="1"/>
    </xf>
    <xf numFmtId="0" fontId="35" fillId="0" borderId="35" xfId="0" applyFont="1" applyBorder="1" applyAlignment="1">
      <alignment horizontal="center" vertical="center"/>
    </xf>
    <xf numFmtId="0" fontId="35" fillId="0" borderId="0" xfId="0" applyFont="1" applyBorder="1" applyAlignment="1">
      <alignment horizontal="center" vertical="center"/>
    </xf>
    <xf numFmtId="0" fontId="35" fillId="0" borderId="36" xfId="0" applyFont="1" applyBorder="1" applyAlignment="1">
      <alignment horizontal="center" vertical="center"/>
    </xf>
    <xf numFmtId="0" fontId="35" fillId="14" borderId="3" xfId="0" applyFont="1" applyFill="1" applyBorder="1" applyAlignment="1">
      <alignment horizontal="center" vertical="center"/>
    </xf>
    <xf numFmtId="0" fontId="46" fillId="7" borderId="35" xfId="0" applyFont="1" applyFill="1" applyBorder="1" applyAlignment="1">
      <alignment horizontal="center" vertical="center" wrapText="1"/>
    </xf>
    <xf numFmtId="0" fontId="46" fillId="7" borderId="0" xfId="0" applyFont="1" applyFill="1" applyBorder="1" applyAlignment="1">
      <alignment horizontal="center" vertical="center" wrapText="1"/>
    </xf>
    <xf numFmtId="0" fontId="38" fillId="7" borderId="35" xfId="0" applyFont="1" applyFill="1" applyBorder="1" applyAlignment="1">
      <alignment horizontal="center" vertical="center" wrapText="1"/>
    </xf>
    <xf numFmtId="0" fontId="38" fillId="7" borderId="0" xfId="0" applyFont="1" applyFill="1" applyBorder="1" applyAlignment="1">
      <alignment horizontal="center" vertical="center" wrapText="1"/>
    </xf>
    <xf numFmtId="0" fontId="46" fillId="15" borderId="39" xfId="0" applyFont="1" applyFill="1" applyBorder="1" applyAlignment="1">
      <alignment horizontal="center" vertical="center"/>
    </xf>
    <xf numFmtId="0" fontId="46" fillId="15" borderId="40" xfId="0" applyFont="1" applyFill="1" applyBorder="1" applyAlignment="1">
      <alignment horizontal="center" vertical="center"/>
    </xf>
    <xf numFmtId="0" fontId="35" fillId="0" borderId="35" xfId="0" applyFont="1" applyFill="1" applyBorder="1" applyAlignment="1">
      <alignment horizontal="center" vertical="center"/>
    </xf>
    <xf numFmtId="0" fontId="35" fillId="0" borderId="0" xfId="0" applyFont="1" applyFill="1" applyBorder="1" applyAlignment="1">
      <alignment horizontal="center" vertical="center"/>
    </xf>
    <xf numFmtId="0" fontId="37" fillId="14" borderId="2" xfId="5" applyFont="1" applyFill="1" applyBorder="1" applyAlignment="1">
      <alignment horizontal="center" vertical="center"/>
    </xf>
    <xf numFmtId="0" fontId="37" fillId="14" borderId="5" xfId="5" applyFont="1" applyFill="1" applyBorder="1" applyAlignment="1">
      <alignment horizontal="center" vertical="center"/>
    </xf>
    <xf numFmtId="14" fontId="35" fillId="12" borderId="62" xfId="5" applyNumberFormat="1" applyFont="1" applyFill="1" applyBorder="1" applyAlignment="1">
      <alignment horizontal="center" vertical="center"/>
    </xf>
    <xf numFmtId="14" fontId="35" fillId="12" borderId="63" xfId="5" applyNumberFormat="1" applyFont="1" applyFill="1" applyBorder="1" applyAlignment="1">
      <alignment horizontal="center" vertical="center"/>
    </xf>
    <xf numFmtId="0" fontId="37" fillId="14" borderId="75" xfId="5" applyFont="1" applyFill="1" applyBorder="1" applyAlignment="1">
      <alignment horizontal="center" vertical="center"/>
    </xf>
    <xf numFmtId="0" fontId="37" fillId="14" borderId="105" xfId="5" applyFont="1" applyFill="1" applyBorder="1" applyAlignment="1">
      <alignment horizontal="center" vertical="center"/>
    </xf>
    <xf numFmtId="0" fontId="35" fillId="0" borderId="59" xfId="5" applyFont="1" applyFill="1" applyBorder="1" applyAlignment="1">
      <alignment horizontal="center" vertical="center"/>
    </xf>
    <xf numFmtId="0" fontId="35" fillId="0" borderId="106" xfId="5" applyFont="1" applyFill="1" applyBorder="1" applyAlignment="1">
      <alignment horizontal="center" vertical="center"/>
    </xf>
    <xf numFmtId="0" fontId="35" fillId="0" borderId="73" xfId="5" applyFont="1" applyFill="1" applyBorder="1" applyAlignment="1">
      <alignment horizontal="center" vertical="center"/>
    </xf>
    <xf numFmtId="0" fontId="35" fillId="0" borderId="107" xfId="5" applyFont="1" applyFill="1" applyBorder="1" applyAlignment="1">
      <alignment horizontal="center" vertical="center"/>
    </xf>
    <xf numFmtId="0" fontId="37" fillId="0" borderId="9" xfId="5" applyFont="1" applyFill="1" applyBorder="1" applyAlignment="1">
      <alignment horizontal="center" vertical="center" wrapText="1"/>
    </xf>
    <xf numFmtId="0" fontId="37" fillId="0" borderId="10" xfId="5" applyFont="1" applyFill="1" applyBorder="1" applyAlignment="1">
      <alignment horizontal="center" vertical="center" wrapText="1"/>
    </xf>
    <xf numFmtId="0" fontId="37" fillId="0" borderId="35" xfId="5" applyFont="1" applyFill="1" applyBorder="1" applyAlignment="1">
      <alignment horizontal="center" vertical="center" wrapText="1"/>
    </xf>
    <xf numFmtId="0" fontId="37" fillId="0" borderId="0" xfId="5" applyFont="1" applyFill="1" applyBorder="1" applyAlignment="1">
      <alignment horizontal="center" vertical="center" wrapText="1"/>
    </xf>
    <xf numFmtId="0" fontId="37" fillId="0" borderId="102" xfId="5" applyFont="1" applyFill="1" applyBorder="1" applyAlignment="1">
      <alignment horizontal="center" vertical="center"/>
    </xf>
    <xf numFmtId="0" fontId="37" fillId="0" borderId="99" xfId="5" applyFont="1" applyFill="1" applyBorder="1" applyAlignment="1">
      <alignment horizontal="center" vertical="center"/>
    </xf>
    <xf numFmtId="0" fontId="37" fillId="0" borderId="66" xfId="5" applyFont="1" applyFill="1" applyBorder="1" applyAlignment="1">
      <alignment horizontal="center" vertical="center"/>
    </xf>
    <xf numFmtId="0" fontId="37" fillId="0" borderId="103" xfId="5" applyFont="1" applyFill="1" applyBorder="1" applyAlignment="1">
      <alignment horizontal="center" vertical="center" wrapText="1"/>
    </xf>
    <xf numFmtId="0" fontId="37" fillId="0" borderId="104" xfId="5" applyFont="1" applyFill="1" applyBorder="1" applyAlignment="1">
      <alignment horizontal="center" vertical="center" wrapText="1"/>
    </xf>
    <xf numFmtId="0" fontId="37" fillId="0" borderId="77" xfId="5" applyFont="1" applyFill="1" applyBorder="1" applyAlignment="1">
      <alignment horizontal="center" vertical="center" wrapText="1"/>
    </xf>
    <xf numFmtId="0" fontId="37" fillId="14" borderId="46" xfId="5" applyFont="1" applyFill="1" applyBorder="1" applyAlignment="1">
      <alignment horizontal="center" vertical="center"/>
    </xf>
    <xf numFmtId="0" fontId="37" fillId="14" borderId="66" xfId="5" applyFont="1" applyFill="1" applyBorder="1" applyAlignment="1">
      <alignment horizontal="center" vertical="center"/>
    </xf>
    <xf numFmtId="0" fontId="37" fillId="14" borderId="50" xfId="5" applyFont="1" applyFill="1" applyBorder="1" applyAlignment="1">
      <alignment horizontal="center" vertical="center"/>
    </xf>
    <xf numFmtId="0" fontId="35" fillId="0" borderId="92" xfId="5" applyFont="1" applyFill="1" applyBorder="1" applyAlignment="1">
      <alignment horizontal="center" vertical="center"/>
    </xf>
    <xf numFmtId="0" fontId="35" fillId="0" borderId="93" xfId="5" applyFont="1" applyFill="1" applyBorder="1" applyAlignment="1">
      <alignment horizontal="center" vertical="center"/>
    </xf>
    <xf numFmtId="0" fontId="46" fillId="7" borderId="36" xfId="0" applyFont="1" applyFill="1" applyBorder="1" applyAlignment="1">
      <alignment horizontal="center" vertical="center" wrapText="1"/>
    </xf>
    <xf numFmtId="0" fontId="37" fillId="14" borderId="98" xfId="5" applyFont="1" applyFill="1" applyBorder="1" applyAlignment="1">
      <alignment horizontal="center" vertical="center"/>
    </xf>
    <xf numFmtId="0" fontId="37" fillId="14" borderId="109" xfId="5" applyFont="1" applyFill="1" applyBorder="1" applyAlignment="1">
      <alignment horizontal="center" vertical="center"/>
    </xf>
    <xf numFmtId="0" fontId="38" fillId="7" borderId="36" xfId="0" applyFont="1" applyFill="1" applyBorder="1" applyAlignment="1">
      <alignment horizontal="center" vertical="center" wrapText="1"/>
    </xf>
    <xf numFmtId="0" fontId="37" fillId="14" borderId="108" xfId="5" applyFont="1" applyFill="1" applyBorder="1" applyAlignment="1">
      <alignment horizontal="center" vertical="center"/>
    </xf>
    <xf numFmtId="0" fontId="37" fillId="14" borderId="87" xfId="5" applyFont="1" applyFill="1" applyBorder="1" applyAlignment="1">
      <alignment horizontal="center" vertical="center"/>
    </xf>
    <xf numFmtId="0" fontId="46" fillId="15" borderId="41" xfId="0" applyFont="1" applyFill="1" applyBorder="1" applyAlignment="1">
      <alignment horizontal="center" vertical="center"/>
    </xf>
    <xf numFmtId="0" fontId="37" fillId="14" borderId="108" xfId="5" applyFont="1" applyFill="1" applyBorder="1" applyAlignment="1">
      <alignment horizontal="center" vertical="center" wrapText="1"/>
    </xf>
    <xf numFmtId="0" fontId="37" fillId="14" borderId="87" xfId="5" applyFont="1" applyFill="1" applyBorder="1" applyAlignment="1">
      <alignment horizontal="center" vertical="center" wrapText="1"/>
    </xf>
    <xf numFmtId="0" fontId="37" fillId="14" borderId="78" xfId="5" applyFont="1" applyFill="1" applyBorder="1" applyAlignment="1">
      <alignment horizontal="center" vertical="center"/>
    </xf>
    <xf numFmtId="0" fontId="18" fillId="0" borderId="3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6" xfId="0" applyFont="1" applyBorder="1" applyAlignment="1">
      <alignment horizontal="center" vertical="center" wrapText="1"/>
    </xf>
    <xf numFmtId="0" fontId="43" fillId="7" borderId="35" xfId="0" applyFont="1" applyFill="1" applyBorder="1" applyAlignment="1">
      <alignment horizontal="center" vertical="center"/>
    </xf>
    <xf numFmtId="0" fontId="43" fillId="7" borderId="0" xfId="0" applyFont="1" applyFill="1" applyBorder="1" applyAlignment="1">
      <alignment horizontal="center" vertical="center"/>
    </xf>
    <xf numFmtId="0" fontId="43" fillId="7" borderId="36" xfId="0" applyFont="1" applyFill="1" applyBorder="1" applyAlignment="1">
      <alignment horizontal="center" vertical="center"/>
    </xf>
    <xf numFmtId="0" fontId="25" fillId="7" borderId="35" xfId="0" applyFont="1" applyFill="1" applyBorder="1" applyAlignment="1">
      <alignment horizontal="center" vertical="center"/>
    </xf>
    <xf numFmtId="0" fontId="25" fillId="7" borderId="0" xfId="0" applyFont="1" applyFill="1" applyBorder="1" applyAlignment="1">
      <alignment horizontal="center" vertical="center"/>
    </xf>
    <xf numFmtId="0" fontId="25" fillId="7" borderId="36" xfId="0" applyFont="1" applyFill="1" applyBorder="1" applyAlignment="1">
      <alignment horizontal="center" vertical="center"/>
    </xf>
    <xf numFmtId="49" fontId="25" fillId="7" borderId="35" xfId="0" applyNumberFormat="1" applyFont="1" applyFill="1" applyBorder="1" applyAlignment="1">
      <alignment horizontal="center" vertical="center"/>
    </xf>
    <xf numFmtId="49" fontId="25" fillId="7" borderId="0" xfId="0" applyNumberFormat="1" applyFont="1" applyFill="1" applyBorder="1" applyAlignment="1">
      <alignment horizontal="center" vertical="center"/>
    </xf>
    <xf numFmtId="49" fontId="25" fillId="7" borderId="36" xfId="0" applyNumberFormat="1" applyFont="1" applyFill="1" applyBorder="1" applyAlignment="1">
      <alignment horizontal="center" vertical="center"/>
    </xf>
    <xf numFmtId="49" fontId="18" fillId="7" borderId="39" xfId="0" applyNumberFormat="1" applyFont="1" applyFill="1" applyBorder="1" applyAlignment="1">
      <alignment horizontal="left" vertical="center"/>
    </xf>
    <xf numFmtId="49" fontId="18" fillId="7" borderId="40" xfId="0" applyNumberFormat="1" applyFont="1" applyFill="1" applyBorder="1" applyAlignment="1">
      <alignment horizontal="left" vertical="center"/>
    </xf>
    <xf numFmtId="49" fontId="18" fillId="7" borderId="41" xfId="0" applyNumberFormat="1" applyFont="1" applyFill="1" applyBorder="1" applyAlignment="1">
      <alignment horizontal="left" vertical="center"/>
    </xf>
    <xf numFmtId="49" fontId="32" fillId="15" borderId="39" xfId="0" applyNumberFormat="1" applyFont="1" applyFill="1" applyBorder="1" applyAlignment="1">
      <alignment horizontal="center" vertical="center"/>
    </xf>
    <xf numFmtId="49" fontId="32" fillId="15" borderId="40" xfId="0" applyNumberFormat="1" applyFont="1" applyFill="1" applyBorder="1" applyAlignment="1">
      <alignment horizontal="center" vertical="center"/>
    </xf>
    <xf numFmtId="49" fontId="32" fillId="15" borderId="41" xfId="0" applyNumberFormat="1" applyFont="1" applyFill="1" applyBorder="1" applyAlignment="1">
      <alignment horizontal="center" vertical="center"/>
    </xf>
    <xf numFmtId="0" fontId="18" fillId="12" borderId="34" xfId="0" applyFont="1" applyFill="1" applyBorder="1" applyAlignment="1">
      <alignment horizontal="center"/>
    </xf>
    <xf numFmtId="0" fontId="18" fillId="12" borderId="5" xfId="0" applyFont="1" applyFill="1" applyBorder="1" applyAlignment="1">
      <alignment horizontal="center"/>
    </xf>
    <xf numFmtId="0" fontId="18" fillId="0" borderId="1" xfId="0" applyFont="1" applyBorder="1" applyAlignment="1">
      <alignment horizontal="center" vertical="center"/>
    </xf>
    <xf numFmtId="0" fontId="18" fillId="0" borderId="2" xfId="0" applyFont="1" applyBorder="1" applyAlignment="1">
      <alignment horizontal="justify" vertical="center" wrapText="1"/>
    </xf>
    <xf numFmtId="10" fontId="18" fillId="0" borderId="2" xfId="18" applyNumberFormat="1" applyFont="1" applyFill="1" applyBorder="1" applyAlignment="1" applyProtection="1">
      <alignment horizontal="center" vertical="center"/>
    </xf>
    <xf numFmtId="172" fontId="18" fillId="0" borderId="5" xfId="25" applyFont="1" applyFill="1" applyBorder="1" applyAlignment="1" applyProtection="1">
      <alignment horizontal="center" vertical="center"/>
    </xf>
    <xf numFmtId="0" fontId="18" fillId="0" borderId="101" xfId="0" applyFont="1" applyBorder="1" applyAlignment="1">
      <alignment horizontal="center" vertical="center"/>
    </xf>
    <xf numFmtId="0" fontId="18" fillId="0" borderId="75" xfId="0" applyFont="1" applyBorder="1" applyAlignment="1">
      <alignment horizontal="center" vertical="center"/>
    </xf>
    <xf numFmtId="0" fontId="18" fillId="0" borderId="2" xfId="0" applyFont="1" applyBorder="1" applyAlignment="1">
      <alignment horizontal="center" vertical="center"/>
    </xf>
    <xf numFmtId="0" fontId="18" fillId="12" borderId="1" xfId="0" applyFont="1" applyFill="1" applyBorder="1" applyAlignment="1">
      <alignment horizontal="center"/>
    </xf>
    <xf numFmtId="0" fontId="18" fillId="0" borderId="105" xfId="0" applyFont="1" applyBorder="1" applyAlignment="1">
      <alignment horizontal="center" vertical="justify"/>
    </xf>
    <xf numFmtId="0" fontId="18" fillId="0" borderId="5" xfId="0" applyFont="1" applyBorder="1" applyAlignment="1">
      <alignment horizontal="center" vertical="justify"/>
    </xf>
    <xf numFmtId="0" fontId="18" fillId="12" borderId="101" xfId="0" applyFont="1" applyFill="1" applyBorder="1" applyAlignment="1">
      <alignment horizontal="center" vertical="center"/>
    </xf>
    <xf numFmtId="0" fontId="18" fillId="12" borderId="75" xfId="0" applyFont="1" applyFill="1" applyBorder="1" applyAlignment="1">
      <alignment horizontal="center" vertical="center"/>
    </xf>
    <xf numFmtId="0" fontId="18" fillId="12" borderId="105" xfId="0" applyFont="1" applyFill="1" applyBorder="1" applyAlignment="1">
      <alignment horizontal="center" vertical="center"/>
    </xf>
    <xf numFmtId="0" fontId="18" fillId="0" borderId="6" xfId="0" applyFont="1" applyBorder="1" applyAlignment="1">
      <alignment horizontal="center" vertical="center"/>
    </xf>
    <xf numFmtId="10" fontId="18" fillId="0" borderId="7" xfId="18" applyNumberFormat="1" applyFont="1" applyFill="1" applyBorder="1" applyAlignment="1" applyProtection="1">
      <alignment horizontal="center" vertical="center"/>
    </xf>
    <xf numFmtId="172" fontId="18" fillId="0" borderId="8" xfId="25" applyFont="1" applyFill="1" applyBorder="1" applyAlignment="1" applyProtection="1">
      <alignment horizontal="center" vertical="center"/>
    </xf>
    <xf numFmtId="0" fontId="18" fillId="0" borderId="22"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67" xfId="0" applyFont="1" applyFill="1" applyBorder="1" applyAlignment="1">
      <alignment horizontal="left" vertical="center"/>
    </xf>
    <xf numFmtId="0" fontId="18" fillId="0" borderId="9" xfId="6" applyFont="1" applyFill="1" applyBorder="1" applyAlignment="1">
      <alignment horizontal="center" vertical="center"/>
    </xf>
    <xf numFmtId="0" fontId="18" fillId="0" borderId="10" xfId="6" applyFont="1" applyFill="1" applyBorder="1" applyAlignment="1">
      <alignment horizontal="center" vertical="center"/>
    </xf>
    <xf numFmtId="0" fontId="18" fillId="0" borderId="11" xfId="6" applyFont="1" applyFill="1" applyBorder="1" applyAlignment="1">
      <alignment horizontal="center" vertical="center"/>
    </xf>
    <xf numFmtId="0" fontId="18" fillId="0" borderId="35" xfId="6" applyFont="1" applyFill="1" applyBorder="1" applyAlignment="1">
      <alignment horizontal="center" vertical="center"/>
    </xf>
    <xf numFmtId="0" fontId="18" fillId="0" borderId="0" xfId="6" applyFont="1" applyFill="1" applyBorder="1" applyAlignment="1">
      <alignment horizontal="center" vertical="center"/>
    </xf>
    <xf numFmtId="0" fontId="18" fillId="0" borderId="36" xfId="6" applyFont="1" applyFill="1" applyBorder="1" applyAlignment="1">
      <alignment horizontal="center" vertical="center"/>
    </xf>
    <xf numFmtId="0" fontId="16" fillId="0" borderId="35" xfId="6" applyFont="1" applyFill="1" applyBorder="1" applyAlignment="1">
      <alignment horizontal="center" vertical="center"/>
    </xf>
    <xf numFmtId="0" fontId="16" fillId="0" borderId="0" xfId="6" applyFont="1" applyFill="1" applyBorder="1" applyAlignment="1">
      <alignment horizontal="center" vertical="center"/>
    </xf>
    <xf numFmtId="0" fontId="16" fillId="0" borderId="36" xfId="6" applyFont="1" applyFill="1" applyBorder="1" applyAlignment="1">
      <alignment horizontal="center" vertical="center"/>
    </xf>
    <xf numFmtId="0" fontId="18" fillId="0" borderId="115" xfId="6" applyFont="1" applyFill="1" applyBorder="1" applyAlignment="1">
      <alignment horizontal="center" vertical="center"/>
    </xf>
    <xf numFmtId="0" fontId="18" fillId="0" borderId="116" xfId="6" applyFont="1" applyFill="1" applyBorder="1" applyAlignment="1">
      <alignment horizontal="center" vertical="center"/>
    </xf>
    <xf numFmtId="0" fontId="18" fillId="0" borderId="117" xfId="6" applyFont="1" applyFill="1" applyBorder="1" applyAlignment="1">
      <alignment horizontal="center" vertical="center"/>
    </xf>
    <xf numFmtId="0" fontId="18" fillId="0" borderId="90" xfId="0" applyFont="1" applyFill="1" applyBorder="1" applyAlignment="1">
      <alignment horizontal="center" vertical="center"/>
    </xf>
    <xf numFmtId="0" fontId="18" fillId="0" borderId="118" xfId="0" applyFont="1" applyFill="1" applyBorder="1" applyAlignment="1">
      <alignment horizontal="center" vertical="center"/>
    </xf>
    <xf numFmtId="1" fontId="18" fillId="0" borderId="112" xfId="0" applyNumberFormat="1" applyFont="1" applyFill="1" applyBorder="1" applyAlignment="1">
      <alignment horizontal="center" vertical="center" wrapText="1"/>
    </xf>
    <xf numFmtId="1" fontId="18" fillId="0" borderId="113" xfId="0" applyNumberFormat="1" applyFont="1" applyFill="1" applyBorder="1" applyAlignment="1">
      <alignment horizontal="center" vertical="center" wrapText="1"/>
    </xf>
    <xf numFmtId="1" fontId="18" fillId="0" borderId="114" xfId="0" applyNumberFormat="1" applyFont="1" applyFill="1" applyBorder="1" applyAlignment="1">
      <alignment horizontal="center" vertical="center" wrapText="1"/>
    </xf>
    <xf numFmtId="0" fontId="18" fillId="0" borderId="38" xfId="0" applyFont="1" applyFill="1" applyBorder="1" applyAlignment="1">
      <alignment horizontal="left" vertical="center"/>
    </xf>
    <xf numFmtId="0" fontId="18" fillId="0" borderId="25" xfId="0" applyFont="1" applyFill="1" applyBorder="1" applyAlignment="1">
      <alignment horizontal="left" vertical="center"/>
    </xf>
    <xf numFmtId="0" fontId="18" fillId="0" borderId="68" xfId="0" applyFont="1" applyFill="1" applyBorder="1" applyAlignment="1">
      <alignment horizontal="left" vertical="center"/>
    </xf>
    <xf numFmtId="0" fontId="16" fillId="0" borderId="22"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67" xfId="0" applyFont="1" applyFill="1" applyBorder="1" applyAlignment="1">
      <alignment horizontal="left" vertical="center" wrapText="1"/>
    </xf>
    <xf numFmtId="0" fontId="16" fillId="0" borderId="22"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67" xfId="0" applyFont="1" applyFill="1" applyBorder="1" applyAlignment="1">
      <alignment horizontal="left" vertical="center"/>
    </xf>
    <xf numFmtId="0" fontId="39" fillId="0" borderId="2" xfId="0" applyFont="1" applyFill="1" applyBorder="1" applyAlignment="1">
      <alignment horizontal="left" vertical="center"/>
    </xf>
    <xf numFmtId="0" fontId="39" fillId="0" borderId="3" xfId="0" applyFont="1" applyFill="1" applyBorder="1" applyAlignment="1">
      <alignment horizontal="left" vertical="center"/>
    </xf>
    <xf numFmtId="0" fontId="39" fillId="0" borderId="34" xfId="0" applyFont="1" applyFill="1" applyBorder="1" applyAlignment="1">
      <alignment horizontal="left" vertical="center"/>
    </xf>
    <xf numFmtId="0" fontId="18" fillId="0" borderId="22"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67" xfId="0" applyFont="1" applyFill="1" applyBorder="1" applyAlignment="1">
      <alignment horizontal="left" vertical="center" wrapText="1"/>
    </xf>
    <xf numFmtId="0" fontId="16" fillId="0" borderId="29" xfId="0" applyFont="1" applyFill="1" applyBorder="1" applyAlignment="1">
      <alignment horizontal="right" vertical="center"/>
    </xf>
    <xf numFmtId="0" fontId="16" fillId="0" borderId="25" xfId="0" applyFont="1" applyFill="1" applyBorder="1" applyAlignment="1">
      <alignment horizontal="right" vertical="center"/>
    </xf>
    <xf numFmtId="0" fontId="16" fillId="0" borderId="68" xfId="0" applyFont="1" applyFill="1" applyBorder="1" applyAlignment="1">
      <alignment horizontal="right" vertical="center"/>
    </xf>
    <xf numFmtId="0" fontId="18" fillId="0" borderId="110" xfId="0" applyFont="1" applyFill="1" applyBorder="1" applyAlignment="1">
      <alignment horizontal="right" vertical="center"/>
    </xf>
    <xf numFmtId="0" fontId="18" fillId="0" borderId="111" xfId="0" applyFont="1" applyFill="1" applyBorder="1" applyAlignment="1">
      <alignment horizontal="right" vertical="center"/>
    </xf>
    <xf numFmtId="0" fontId="47" fillId="0" borderId="2" xfId="0" applyFont="1" applyFill="1" applyBorder="1" applyAlignment="1">
      <alignment horizontal="center"/>
    </xf>
    <xf numFmtId="0" fontId="25" fillId="0" borderId="3"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3" xfId="0" applyFont="1" applyFill="1" applyBorder="1" applyAlignment="1">
      <alignment horizontal="center"/>
    </xf>
    <xf numFmtId="0" fontId="25" fillId="0" borderId="34" xfId="0" applyFont="1" applyFill="1" applyBorder="1" applyAlignment="1">
      <alignment horizontal="center"/>
    </xf>
    <xf numFmtId="0" fontId="47" fillId="0" borderId="1" xfId="0" applyFont="1" applyFill="1" applyBorder="1" applyAlignment="1">
      <alignment horizontal="center"/>
    </xf>
    <xf numFmtId="0" fontId="47" fillId="0" borderId="5" xfId="0" applyFont="1" applyFill="1" applyBorder="1" applyAlignment="1">
      <alignment horizontal="center"/>
    </xf>
    <xf numFmtId="0" fontId="16" fillId="0" borderId="54"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3" xfId="0" applyFont="1" applyFill="1" applyBorder="1" applyAlignment="1">
      <alignment horizontal="center"/>
    </xf>
    <xf numFmtId="0" fontId="16" fillId="0" borderId="34" xfId="0" applyFont="1" applyFill="1" applyBorder="1" applyAlignment="1">
      <alignment horizontal="center"/>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6" fillId="0" borderId="3" xfId="12" applyFont="1" applyFill="1" applyBorder="1" applyAlignment="1">
      <alignment horizontal="center" vertical="center"/>
    </xf>
    <xf numFmtId="0" fontId="16" fillId="0" borderId="34" xfId="12" applyFont="1" applyFill="1" applyBorder="1" applyAlignment="1">
      <alignment horizontal="center" vertical="center"/>
    </xf>
    <xf numFmtId="165" fontId="16" fillId="0" borderId="1" xfId="12" applyNumberFormat="1" applyFont="1" applyFill="1" applyBorder="1" applyAlignment="1">
      <alignment horizontal="right" vertical="center"/>
    </xf>
    <xf numFmtId="165" fontId="16" fillId="0" borderId="2" xfId="12" applyNumberFormat="1" applyFont="1" applyFill="1" applyBorder="1" applyAlignment="1">
      <alignment horizontal="right" vertical="center"/>
    </xf>
    <xf numFmtId="165" fontId="16" fillId="0" borderId="2" xfId="12" applyNumberFormat="1" applyFont="1" applyFill="1" applyBorder="1" applyAlignment="1">
      <alignment horizontal="center" vertical="center"/>
    </xf>
    <xf numFmtId="165" fontId="16" fillId="0" borderId="5" xfId="12" applyNumberFormat="1" applyFont="1" applyFill="1" applyBorder="1" applyAlignment="1">
      <alignment horizontal="center" vertical="center"/>
    </xf>
    <xf numFmtId="165" fontId="18" fillId="0" borderId="2" xfId="12" applyNumberFormat="1" applyFont="1" applyFill="1" applyBorder="1" applyAlignment="1">
      <alignment horizontal="left" vertical="center"/>
    </xf>
    <xf numFmtId="0" fontId="18" fillId="0" borderId="74" xfId="6" applyFont="1" applyFill="1" applyBorder="1" applyAlignment="1">
      <alignment horizontal="center" vertical="center"/>
    </xf>
    <xf numFmtId="0" fontId="18" fillId="0" borderId="98" xfId="6" applyFont="1" applyFill="1" applyBorder="1" applyAlignment="1">
      <alignment horizontal="center" vertical="center"/>
    </xf>
    <xf numFmtId="0" fontId="18" fillId="0" borderId="109" xfId="6" applyFont="1" applyFill="1" applyBorder="1" applyAlignment="1">
      <alignment horizontal="center" vertical="center"/>
    </xf>
    <xf numFmtId="165" fontId="16" fillId="0" borderId="54" xfId="12" applyNumberFormat="1" applyFont="1" applyFill="1" applyBorder="1" applyAlignment="1">
      <alignment horizontal="right" vertical="center"/>
    </xf>
    <xf numFmtId="165" fontId="16" fillId="0" borderId="4" xfId="12" applyNumberFormat="1" applyFont="1" applyFill="1" applyBorder="1" applyAlignment="1">
      <alignment horizontal="right" vertical="center"/>
    </xf>
    <xf numFmtId="165" fontId="16" fillId="0" borderId="34" xfId="12" applyNumberFormat="1" applyFont="1" applyFill="1" applyBorder="1" applyAlignment="1">
      <alignment horizontal="right" vertical="center"/>
    </xf>
    <xf numFmtId="165" fontId="18" fillId="0" borderId="1" xfId="12" applyNumberFormat="1" applyFont="1" applyFill="1" applyBorder="1" applyAlignment="1">
      <alignment horizontal="center" vertical="center"/>
    </xf>
    <xf numFmtId="165" fontId="18" fillId="0" borderId="2" xfId="12" applyNumberFormat="1" applyFont="1" applyFill="1" applyBorder="1" applyAlignment="1">
      <alignment horizontal="center" vertical="center"/>
    </xf>
    <xf numFmtId="165" fontId="18" fillId="0" borderId="5" xfId="12" applyNumberFormat="1" applyFont="1" applyFill="1" applyBorder="1" applyAlignment="1">
      <alignment horizontal="center" vertical="center"/>
    </xf>
    <xf numFmtId="165" fontId="16" fillId="0" borderId="2" xfId="12" applyNumberFormat="1" applyFont="1" applyFill="1" applyBorder="1" applyAlignment="1">
      <alignment horizontal="left" vertical="center"/>
    </xf>
    <xf numFmtId="165" fontId="18" fillId="0" borderId="119" xfId="12" applyNumberFormat="1" applyFont="1" applyFill="1" applyBorder="1" applyAlignment="1">
      <alignment horizontal="center" vertical="center" wrapText="1"/>
    </xf>
    <xf numFmtId="165" fontId="18" fillId="0" borderId="120" xfId="12" applyNumberFormat="1" applyFont="1" applyFill="1" applyBorder="1" applyAlignment="1">
      <alignment horizontal="center" vertical="center" wrapText="1"/>
    </xf>
    <xf numFmtId="165" fontId="18" fillId="0" borderId="121" xfId="12" applyNumberFormat="1" applyFont="1" applyFill="1" applyBorder="1" applyAlignment="1">
      <alignment horizontal="center" vertical="center" wrapText="1"/>
    </xf>
    <xf numFmtId="0" fontId="18" fillId="0" borderId="54" xfId="6" applyFont="1" applyFill="1" applyBorder="1" applyAlignment="1">
      <alignment horizontal="center" vertical="center"/>
    </xf>
    <xf numFmtId="0" fontId="18" fillId="0" borderId="4" xfId="6" applyFont="1" applyFill="1" applyBorder="1" applyAlignment="1">
      <alignment horizontal="center" vertical="center"/>
    </xf>
    <xf numFmtId="0" fontId="18" fillId="0" borderId="65" xfId="6" applyFont="1" applyFill="1" applyBorder="1" applyAlignment="1">
      <alignment horizontal="center" vertical="center"/>
    </xf>
    <xf numFmtId="0" fontId="16" fillId="0" borderId="3" xfId="12" applyFont="1" applyFill="1" applyBorder="1" applyAlignment="1">
      <alignment horizontal="center" vertical="center" wrapText="1"/>
    </xf>
    <xf numFmtId="0" fontId="16" fillId="0" borderId="34" xfId="12" applyFont="1" applyFill="1" applyBorder="1" applyAlignment="1">
      <alignment horizontal="center" vertical="center" wrapText="1"/>
    </xf>
    <xf numFmtId="0" fontId="21" fillId="0" borderId="35" xfId="0" applyFont="1" applyFill="1" applyBorder="1" applyAlignment="1">
      <alignment horizontal="center"/>
    </xf>
    <xf numFmtId="0" fontId="21" fillId="0" borderId="0" xfId="0" applyFont="1" applyFill="1" applyBorder="1" applyAlignment="1">
      <alignment horizontal="center"/>
    </xf>
    <xf numFmtId="0" fontId="21" fillId="0" borderId="36" xfId="0" applyFont="1" applyFill="1" applyBorder="1" applyAlignment="1">
      <alignment horizontal="center"/>
    </xf>
    <xf numFmtId="0" fontId="17" fillId="0" borderId="35" xfId="0" applyFont="1" applyFill="1" applyBorder="1" applyAlignment="1">
      <alignment horizontal="center"/>
    </xf>
    <xf numFmtId="0" fontId="17" fillId="0" borderId="0" xfId="0" applyFont="1" applyFill="1" applyBorder="1" applyAlignment="1">
      <alignment horizontal="center"/>
    </xf>
    <xf numFmtId="0" fontId="17" fillId="0" borderId="36" xfId="0" applyFont="1" applyFill="1" applyBorder="1" applyAlignment="1">
      <alignment horizontal="center"/>
    </xf>
    <xf numFmtId="0" fontId="17" fillId="0" borderId="3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36"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41" xfId="0" applyFont="1" applyFill="1" applyBorder="1" applyAlignment="1">
      <alignment horizontal="center" vertical="center"/>
    </xf>
    <xf numFmtId="165" fontId="18" fillId="0" borderId="93" xfId="12" applyNumberFormat="1" applyFont="1" applyFill="1" applyBorder="1" applyAlignment="1">
      <alignment horizontal="center" vertical="center" wrapText="1"/>
    </xf>
    <xf numFmtId="0" fontId="18" fillId="0" borderId="90" xfId="0" applyFont="1" applyFill="1" applyBorder="1" applyAlignment="1">
      <alignment horizontal="center" vertical="center" wrapText="1"/>
    </xf>
    <xf numFmtId="0" fontId="18" fillId="0" borderId="91" xfId="0" applyFont="1" applyFill="1" applyBorder="1" applyAlignment="1">
      <alignment horizontal="center" vertical="center" wrapText="1"/>
    </xf>
    <xf numFmtId="0" fontId="18" fillId="0" borderId="122" xfId="0" applyFont="1" applyFill="1" applyBorder="1" applyAlignment="1">
      <alignment horizontal="center" vertical="center" wrapText="1"/>
    </xf>
    <xf numFmtId="1" fontId="18" fillId="0" borderId="119" xfId="0" applyNumberFormat="1" applyFont="1" applyFill="1" applyBorder="1" applyAlignment="1">
      <alignment horizontal="center" vertical="center" wrapText="1"/>
    </xf>
    <xf numFmtId="1" fontId="18" fillId="0" borderId="120" xfId="0" applyNumberFormat="1" applyFont="1" applyFill="1" applyBorder="1" applyAlignment="1">
      <alignment horizontal="center" vertical="center" wrapText="1"/>
    </xf>
    <xf numFmtId="1" fontId="18" fillId="0" borderId="121" xfId="0" applyNumberFormat="1" applyFont="1" applyFill="1" applyBorder="1" applyAlignment="1">
      <alignment horizontal="center" vertical="center" wrapText="1"/>
    </xf>
    <xf numFmtId="0" fontId="18" fillId="0" borderId="54"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65" xfId="0" applyFont="1" applyFill="1" applyBorder="1" applyAlignment="1">
      <alignment horizontal="center" vertical="center"/>
    </xf>
    <xf numFmtId="0" fontId="18" fillId="7" borderId="10" xfId="6" applyFont="1" applyFill="1" applyBorder="1" applyAlignment="1">
      <alignment horizontal="center" vertical="center"/>
    </xf>
    <xf numFmtId="0" fontId="18" fillId="7" borderId="11" xfId="6" applyFont="1" applyFill="1" applyBorder="1" applyAlignment="1">
      <alignment horizontal="center" vertical="center"/>
    </xf>
    <xf numFmtId="0" fontId="18" fillId="7" borderId="35" xfId="6" applyFont="1" applyFill="1" applyBorder="1" applyAlignment="1">
      <alignment horizontal="center" vertical="center"/>
    </xf>
    <xf numFmtId="0" fontId="18" fillId="7" borderId="0" xfId="6" applyFont="1" applyFill="1" applyBorder="1" applyAlignment="1">
      <alignment horizontal="center" vertical="center"/>
    </xf>
    <xf numFmtId="0" fontId="18" fillId="7" borderId="36" xfId="6" applyFont="1" applyFill="1" applyBorder="1" applyAlignment="1">
      <alignment horizontal="center" vertical="center"/>
    </xf>
    <xf numFmtId="0" fontId="16" fillId="7" borderId="35" xfId="6" applyFont="1" applyFill="1" applyBorder="1" applyAlignment="1">
      <alignment horizontal="center" vertical="center"/>
    </xf>
    <xf numFmtId="0" fontId="16" fillId="7" borderId="0" xfId="6" applyFont="1" applyFill="1" applyBorder="1" applyAlignment="1">
      <alignment horizontal="center" vertical="center"/>
    </xf>
    <xf numFmtId="0" fontId="16" fillId="7" borderId="36" xfId="6" applyFont="1" applyFill="1" applyBorder="1" applyAlignment="1">
      <alignment horizontal="center" vertical="center"/>
    </xf>
    <xf numFmtId="0" fontId="18" fillId="7" borderId="40" xfId="6" applyFont="1" applyFill="1" applyBorder="1" applyAlignment="1">
      <alignment horizontal="center" vertical="center"/>
    </xf>
    <xf numFmtId="0" fontId="18" fillId="7" borderId="41" xfId="6" applyFont="1" applyFill="1" applyBorder="1" applyAlignment="1">
      <alignment horizontal="center" vertical="center"/>
    </xf>
    <xf numFmtId="165" fontId="18" fillId="15" borderId="93" xfId="12" applyNumberFormat="1" applyFont="1" applyFill="1" applyBorder="1" applyAlignment="1">
      <alignment horizontal="center" vertical="center" wrapText="1"/>
    </xf>
    <xf numFmtId="165" fontId="18" fillId="15" borderId="126" xfId="12" applyNumberFormat="1" applyFont="1" applyFill="1" applyBorder="1" applyAlignment="1">
      <alignment horizontal="center" vertical="center" wrapText="1"/>
    </xf>
    <xf numFmtId="165" fontId="18" fillId="15" borderId="127" xfId="12" applyNumberFormat="1" applyFont="1" applyFill="1" applyBorder="1" applyAlignment="1">
      <alignment horizontal="center" vertical="center" wrapText="1"/>
    </xf>
    <xf numFmtId="165" fontId="16" fillId="0" borderId="123" xfId="12" applyNumberFormat="1" applyFont="1" applyFill="1" applyBorder="1" applyAlignment="1">
      <alignment horizontal="center" vertical="center"/>
    </xf>
    <xf numFmtId="165" fontId="16" fillId="0" borderId="124" xfId="12" applyNumberFormat="1" applyFont="1" applyFill="1" applyBorder="1" applyAlignment="1">
      <alignment horizontal="center" vertical="center"/>
    </xf>
    <xf numFmtId="0" fontId="18" fillId="11" borderId="74" xfId="0" applyFont="1" applyFill="1" applyBorder="1" applyAlignment="1">
      <alignment horizontal="center" vertical="center"/>
    </xf>
    <xf numFmtId="0" fontId="18" fillId="11" borderId="98" xfId="0" applyFont="1" applyFill="1" applyBorder="1" applyAlignment="1">
      <alignment horizontal="center" vertical="center"/>
    </xf>
    <xf numFmtId="0" fontId="18" fillId="11" borderId="109" xfId="0" applyFont="1" applyFill="1" applyBorder="1" applyAlignment="1">
      <alignment horizontal="center" vertical="center"/>
    </xf>
    <xf numFmtId="165" fontId="16" fillId="0" borderId="38" xfId="12" applyNumberFormat="1" applyFont="1" applyBorder="1" applyAlignment="1">
      <alignment horizontal="center" vertical="center"/>
    </xf>
    <xf numFmtId="165" fontId="16" fillId="0" borderId="125" xfId="12" applyNumberFormat="1" applyFont="1" applyBorder="1" applyAlignment="1">
      <alignment horizontal="center" vertical="center"/>
    </xf>
    <xf numFmtId="0" fontId="18" fillId="0" borderId="74" xfId="0" applyFont="1" applyFill="1" applyBorder="1" applyAlignment="1">
      <alignment horizontal="center" vertical="center" wrapText="1"/>
    </xf>
    <xf numFmtId="0" fontId="18" fillId="0" borderId="98" xfId="0" applyFont="1" applyFill="1" applyBorder="1" applyAlignment="1">
      <alignment horizontal="center" vertical="center" wrapText="1"/>
    </xf>
    <xf numFmtId="0" fontId="18" fillId="0" borderId="109" xfId="0" applyFont="1" applyFill="1" applyBorder="1" applyAlignment="1">
      <alignment horizontal="center" vertical="center" wrapText="1"/>
    </xf>
    <xf numFmtId="165" fontId="16" fillId="0" borderId="38" xfId="12" applyNumberFormat="1" applyFont="1" applyFill="1" applyBorder="1" applyAlignment="1">
      <alignment horizontal="center" vertical="center"/>
    </xf>
    <xf numFmtId="165" fontId="16" fillId="0" borderId="125" xfId="12" applyNumberFormat="1" applyFont="1" applyFill="1" applyBorder="1" applyAlignment="1">
      <alignment horizontal="center" vertical="center"/>
    </xf>
    <xf numFmtId="0" fontId="18" fillId="0" borderId="69" xfId="0" applyFont="1" applyFill="1" applyBorder="1" applyAlignment="1">
      <alignment horizontal="right" vertical="center"/>
    </xf>
    <xf numFmtId="0" fontId="15" fillId="0" borderId="98" xfId="0" applyFont="1" applyBorder="1" applyAlignment="1">
      <alignment horizontal="center" wrapText="1"/>
    </xf>
    <xf numFmtId="0" fontId="15" fillId="13" borderId="3"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5" fillId="13" borderId="34" xfId="0" applyFont="1" applyFill="1" applyBorder="1" applyAlignment="1">
      <alignment horizontal="center" vertical="center" wrapText="1"/>
    </xf>
    <xf numFmtId="0" fontId="15" fillId="13" borderId="2" xfId="0" applyFont="1" applyFill="1" applyBorder="1" applyAlignment="1">
      <alignment horizontal="center" wrapText="1"/>
    </xf>
    <xf numFmtId="0" fontId="47" fillId="12" borderId="2" xfId="0" applyFont="1" applyFill="1" applyBorder="1" applyAlignment="1">
      <alignment horizontal="center"/>
    </xf>
    <xf numFmtId="0" fontId="41" fillId="0" borderId="3" xfId="0" applyFont="1" applyBorder="1" applyAlignment="1">
      <alignment horizontal="center" vertical="center"/>
    </xf>
    <xf numFmtId="0" fontId="41" fillId="0" borderId="34" xfId="0" applyFont="1" applyBorder="1" applyAlignment="1">
      <alignment horizontal="center" vertical="center"/>
    </xf>
    <xf numFmtId="0" fontId="39" fillId="0" borderId="2" xfId="0" applyFont="1" applyFill="1" applyBorder="1" applyAlignment="1">
      <alignment horizontal="center" vertical="center"/>
    </xf>
    <xf numFmtId="0" fontId="39" fillId="0" borderId="2" xfId="0" applyFont="1" applyBorder="1" applyAlignment="1">
      <alignment horizontal="center" vertical="center"/>
    </xf>
    <xf numFmtId="0" fontId="42" fillId="0" borderId="2" xfId="0" applyFont="1" applyBorder="1" applyAlignment="1">
      <alignment horizontal="right" vertical="center"/>
    </xf>
    <xf numFmtId="0" fontId="0" fillId="0" borderId="2" xfId="0" applyBorder="1" applyAlignment="1">
      <alignment horizontal="center"/>
    </xf>
    <xf numFmtId="0" fontId="0" fillId="7" borderId="2" xfId="0" applyFill="1" applyBorder="1" applyAlignment="1">
      <alignment horizontal="center"/>
    </xf>
    <xf numFmtId="0" fontId="15" fillId="7" borderId="2" xfId="0" applyFont="1" applyFill="1" applyBorder="1" applyAlignment="1">
      <alignment horizontal="center" wrapText="1"/>
    </xf>
    <xf numFmtId="0" fontId="15" fillId="7" borderId="2" xfId="0" applyFont="1" applyFill="1" applyBorder="1" applyAlignment="1">
      <alignment horizontal="center"/>
    </xf>
    <xf numFmtId="165" fontId="18" fillId="0" borderId="112" xfId="12" applyNumberFormat="1" applyFont="1" applyFill="1" applyBorder="1" applyAlignment="1">
      <alignment horizontal="center" vertical="center" wrapText="1"/>
    </xf>
    <xf numFmtId="165" fontId="18" fillId="0" borderId="113" xfId="12" applyNumberFormat="1" applyFont="1" applyFill="1" applyBorder="1" applyAlignment="1">
      <alignment horizontal="center" vertical="center" wrapText="1"/>
    </xf>
    <xf numFmtId="165" fontId="18" fillId="0" borderId="114" xfId="12" applyNumberFormat="1" applyFont="1" applyFill="1" applyBorder="1" applyAlignment="1">
      <alignment horizontal="center" vertical="center" wrapText="1"/>
    </xf>
    <xf numFmtId="165" fontId="18" fillId="0" borderId="71" xfId="12" applyNumberFormat="1" applyFont="1" applyFill="1" applyBorder="1" applyAlignment="1">
      <alignment horizontal="right" vertical="center"/>
    </xf>
    <xf numFmtId="165" fontId="18" fillId="0" borderId="84" xfId="12" applyNumberFormat="1" applyFont="1" applyFill="1" applyBorder="1" applyAlignment="1">
      <alignment horizontal="right" vertical="center"/>
    </xf>
    <xf numFmtId="165" fontId="18" fillId="0" borderId="84" xfId="12" applyNumberFormat="1" applyFont="1" applyFill="1" applyBorder="1" applyAlignment="1">
      <alignment horizontal="center" vertical="center"/>
    </xf>
    <xf numFmtId="165" fontId="18" fillId="0" borderId="76" xfId="12" applyNumberFormat="1" applyFont="1" applyFill="1" applyBorder="1" applyAlignment="1">
      <alignment horizontal="center" vertical="center"/>
    </xf>
    <xf numFmtId="165" fontId="18" fillId="0" borderId="7" xfId="12" applyNumberFormat="1" applyFont="1" applyFill="1" applyBorder="1" applyAlignment="1">
      <alignment horizontal="left" vertical="center"/>
    </xf>
    <xf numFmtId="165" fontId="18" fillId="0" borderId="74" xfId="12" applyNumberFormat="1" applyFont="1" applyFill="1" applyBorder="1" applyAlignment="1">
      <alignment horizontal="center" vertical="center"/>
    </xf>
    <xf numFmtId="165" fontId="18" fillId="0" borderId="98" xfId="12" applyNumberFormat="1" applyFont="1" applyFill="1" applyBorder="1" applyAlignment="1">
      <alignment horizontal="center" vertical="center"/>
    </xf>
    <xf numFmtId="165" fontId="18" fillId="0" borderId="109" xfId="12" applyNumberFormat="1" applyFont="1" applyFill="1" applyBorder="1" applyAlignment="1">
      <alignment horizontal="center" vertical="center"/>
    </xf>
    <xf numFmtId="0" fontId="27" fillId="5" borderId="6" xfId="0" applyFont="1" applyFill="1" applyBorder="1" applyAlignment="1">
      <alignment horizontal="center" vertical="center"/>
    </xf>
    <xf numFmtId="0" fontId="27" fillId="5" borderId="7" xfId="0" applyFont="1" applyFill="1" applyBorder="1" applyAlignment="1">
      <alignment horizontal="center" vertical="center"/>
    </xf>
    <xf numFmtId="0" fontId="26" fillId="0" borderId="0" xfId="0" applyFont="1" applyFill="1" applyBorder="1" applyAlignment="1">
      <alignment horizontal="left" vertical="center"/>
    </xf>
    <xf numFmtId="0" fontId="27" fillId="0" borderId="54" xfId="0" applyFont="1" applyBorder="1" applyAlignment="1">
      <alignment horizontal="center" vertical="center"/>
    </xf>
    <xf numFmtId="0" fontId="27" fillId="0" borderId="4" xfId="0" applyFont="1" applyBorder="1" applyAlignment="1">
      <alignment horizontal="center" vertical="center"/>
    </xf>
    <xf numFmtId="0" fontId="27" fillId="0" borderId="34" xfId="0" applyFont="1" applyBorder="1" applyAlignment="1">
      <alignment horizontal="center" vertical="center"/>
    </xf>
    <xf numFmtId="0" fontId="27" fillId="0" borderId="74" xfId="0" applyFont="1" applyBorder="1" applyAlignment="1">
      <alignment horizontal="center" vertical="center"/>
    </xf>
    <xf numFmtId="0" fontId="27" fillId="0" borderId="98" xfId="0" applyFont="1" applyBorder="1" applyAlignment="1">
      <alignment horizontal="center" vertical="center"/>
    </xf>
    <xf numFmtId="0" fontId="27" fillId="0" borderId="78" xfId="0" applyFont="1" applyBorder="1" applyAlignment="1">
      <alignment horizontal="center" vertical="center"/>
    </xf>
    <xf numFmtId="0" fontId="27" fillId="15" borderId="92" xfId="0" applyFont="1" applyFill="1" applyBorder="1" applyAlignment="1">
      <alignment horizontal="center" vertical="center"/>
    </xf>
    <xf numFmtId="0" fontId="27" fillId="15" borderId="93" xfId="0" applyFont="1" applyFill="1" applyBorder="1" applyAlignment="1">
      <alignment horizontal="center" vertical="center"/>
    </xf>
    <xf numFmtId="0" fontId="27" fillId="15" borderId="94" xfId="0" applyFont="1" applyFill="1" applyBorder="1" applyAlignment="1">
      <alignment horizontal="center" vertical="center"/>
    </xf>
    <xf numFmtId="0" fontId="27" fillId="0" borderId="112" xfId="0" applyFont="1" applyFill="1" applyBorder="1" applyAlignment="1">
      <alignment horizontal="center" vertical="center" wrapText="1"/>
    </xf>
    <xf numFmtId="0" fontId="27" fillId="0" borderId="113" xfId="0" applyFont="1" applyFill="1" applyBorder="1" applyAlignment="1">
      <alignment horizontal="center" vertical="center" wrapText="1"/>
    </xf>
    <xf numFmtId="0" fontId="27" fillId="0" borderId="114" xfId="0" applyFont="1" applyFill="1" applyBorder="1" applyAlignment="1">
      <alignment horizontal="center" vertical="center" wrapText="1"/>
    </xf>
    <xf numFmtId="0" fontId="27" fillId="11" borderId="46" xfId="0" applyFont="1" applyFill="1" applyBorder="1" applyAlignment="1">
      <alignment horizontal="center" vertical="center"/>
    </xf>
    <xf numFmtId="0" fontId="27" fillId="11" borderId="1" xfId="0" applyFont="1" applyFill="1" applyBorder="1" applyAlignment="1">
      <alignment horizontal="center" vertical="center"/>
    </xf>
    <xf numFmtId="0" fontId="27" fillId="11" borderId="0" xfId="0" applyFont="1" applyFill="1" applyBorder="1" applyAlignment="1">
      <alignment horizontal="center" vertical="center"/>
    </xf>
    <xf numFmtId="0" fontId="27" fillId="11" borderId="98" xfId="0" applyFont="1" applyFill="1" applyBorder="1" applyAlignment="1">
      <alignment horizontal="center" vertical="center"/>
    </xf>
    <xf numFmtId="0" fontId="27" fillId="11" borderId="77" xfId="0" applyFont="1" applyFill="1" applyBorder="1" applyAlignment="1">
      <alignment horizontal="center" vertical="center"/>
    </xf>
    <xf numFmtId="0" fontId="27" fillId="11" borderId="78" xfId="0" applyFont="1" applyFill="1" applyBorder="1" applyAlignment="1">
      <alignment horizontal="center" vertical="center"/>
    </xf>
    <xf numFmtId="0" fontId="27" fillId="11" borderId="109" xfId="0" applyFont="1" applyFill="1" applyBorder="1" applyAlignment="1">
      <alignment horizontal="center" vertical="center"/>
    </xf>
    <xf numFmtId="0" fontId="48" fillId="7" borderId="9" xfId="0" applyFont="1" applyFill="1" applyBorder="1" applyAlignment="1">
      <alignment horizontal="center" vertical="center"/>
    </xf>
    <xf numFmtId="0" fontId="48" fillId="7" borderId="10" xfId="0" applyFont="1" applyFill="1" applyBorder="1" applyAlignment="1">
      <alignment horizontal="center" vertical="center"/>
    </xf>
    <xf numFmtId="0" fontId="48" fillId="7" borderId="11" xfId="0" applyFont="1" applyFill="1" applyBorder="1" applyAlignment="1">
      <alignment horizontal="center" vertical="center"/>
    </xf>
    <xf numFmtId="0" fontId="27" fillId="7" borderId="35" xfId="0" applyFont="1" applyFill="1" applyBorder="1" applyAlignment="1">
      <alignment horizontal="center" vertical="center"/>
    </xf>
    <xf numFmtId="0" fontId="27" fillId="7" borderId="0" xfId="0" applyFont="1" applyFill="1" applyBorder="1" applyAlignment="1">
      <alignment horizontal="center" vertical="center"/>
    </xf>
    <xf numFmtId="0" fontId="27" fillId="7" borderId="36" xfId="0" applyFont="1" applyFill="1" applyBorder="1" applyAlignment="1">
      <alignment horizontal="center" vertical="center"/>
    </xf>
    <xf numFmtId="0" fontId="26" fillId="7" borderId="35" xfId="0" applyFont="1" applyFill="1" applyBorder="1" applyAlignment="1">
      <alignment horizontal="center" vertical="center"/>
    </xf>
    <xf numFmtId="0" fontId="26" fillId="7" borderId="0" xfId="0" applyFont="1" applyFill="1" applyBorder="1" applyAlignment="1">
      <alignment horizontal="center" vertical="center"/>
    </xf>
    <xf numFmtId="0" fontId="26" fillId="7" borderId="36" xfId="0" applyFont="1" applyFill="1" applyBorder="1" applyAlignment="1">
      <alignment horizontal="center" vertical="center"/>
    </xf>
    <xf numFmtId="0" fontId="48" fillId="7" borderId="39" xfId="0" applyFont="1" applyFill="1" applyBorder="1" applyAlignment="1">
      <alignment horizontal="center" vertical="center"/>
    </xf>
    <xf numFmtId="0" fontId="48" fillId="7" borderId="40" xfId="0" applyFont="1" applyFill="1" applyBorder="1" applyAlignment="1">
      <alignment horizontal="center" vertical="center"/>
    </xf>
    <xf numFmtId="0" fontId="48" fillId="7" borderId="41" xfId="0" applyFont="1" applyFill="1" applyBorder="1" applyAlignment="1">
      <alignment horizontal="center" vertical="center"/>
    </xf>
    <xf numFmtId="0" fontId="32" fillId="15" borderId="128" xfId="14" applyFont="1" applyFill="1" applyBorder="1" applyAlignment="1">
      <alignment horizontal="center" vertical="center" wrapText="1"/>
    </xf>
    <xf numFmtId="0" fontId="32" fillId="15" borderId="129" xfId="14" applyFont="1" applyFill="1" applyBorder="1" applyAlignment="1">
      <alignment horizontal="center" vertical="center" wrapText="1"/>
    </xf>
    <xf numFmtId="0" fontId="32" fillId="15" borderId="127" xfId="14" applyFont="1" applyFill="1" applyBorder="1" applyAlignment="1">
      <alignment horizontal="center" vertical="center" wrapText="1"/>
    </xf>
    <xf numFmtId="0" fontId="32" fillId="0" borderId="112" xfId="14" applyFont="1" applyFill="1" applyBorder="1" applyAlignment="1">
      <alignment horizontal="center" vertical="center" wrapText="1"/>
    </xf>
    <xf numFmtId="0" fontId="32" fillId="0" borderId="113" xfId="14" applyFont="1" applyFill="1" applyBorder="1" applyAlignment="1">
      <alignment horizontal="center" vertical="center" wrapText="1"/>
    </xf>
    <xf numFmtId="0" fontId="32" fillId="0" borderId="114" xfId="14" applyFont="1" applyFill="1" applyBorder="1" applyAlignment="1">
      <alignment horizontal="center" vertical="center" wrapText="1"/>
    </xf>
    <xf numFmtId="0" fontId="22" fillId="0" borderId="0" xfId="0" applyFont="1" applyAlignment="1">
      <alignment horizontal="left" wrapText="1"/>
    </xf>
    <xf numFmtId="0" fontId="22" fillId="0" borderId="36" xfId="0" applyFont="1" applyBorder="1" applyAlignment="1">
      <alignment horizontal="left" wrapText="1"/>
    </xf>
    <xf numFmtId="0" fontId="22" fillId="0" borderId="43" xfId="0" applyFont="1" applyBorder="1" applyAlignment="1">
      <alignment horizontal="left" wrapText="1"/>
    </xf>
    <xf numFmtId="0" fontId="22" fillId="0" borderId="58" xfId="0" applyFont="1" applyBorder="1" applyAlignment="1">
      <alignment horizontal="left" wrapText="1"/>
    </xf>
    <xf numFmtId="0" fontId="24" fillId="7" borderId="9" xfId="0" applyFont="1" applyFill="1" applyBorder="1" applyAlignment="1" applyProtection="1">
      <alignment horizontal="center" vertical="center"/>
      <protection locked="0"/>
    </xf>
    <xf numFmtId="0" fontId="24" fillId="7" borderId="10" xfId="0" applyFont="1" applyFill="1" applyBorder="1" applyAlignment="1" applyProtection="1">
      <alignment horizontal="center" vertical="center"/>
      <protection locked="0"/>
    </xf>
    <xf numFmtId="0" fontId="24" fillId="7" borderId="11" xfId="0" applyFont="1" applyFill="1" applyBorder="1" applyAlignment="1" applyProtection="1">
      <alignment horizontal="center" vertical="center"/>
      <protection locked="0"/>
    </xf>
    <xf numFmtId="2" fontId="32" fillId="7" borderId="35" xfId="15" applyNumberFormat="1" applyFont="1" applyFill="1" applyBorder="1" applyAlignment="1" applyProtection="1">
      <alignment horizontal="center" vertical="center"/>
      <protection locked="0"/>
    </xf>
    <xf numFmtId="2" fontId="32" fillId="7" borderId="0" xfId="15" applyNumberFormat="1" applyFont="1" applyFill="1" applyAlignment="1" applyProtection="1">
      <alignment horizontal="center" vertical="center"/>
      <protection locked="0"/>
    </xf>
    <xf numFmtId="2" fontId="32" fillId="7" borderId="36" xfId="15" applyNumberFormat="1" applyFont="1" applyFill="1" applyBorder="1" applyAlignment="1" applyProtection="1">
      <alignment horizontal="center" vertical="center"/>
      <protection locked="0"/>
    </xf>
    <xf numFmtId="2" fontId="22" fillId="7" borderId="35" xfId="15" applyNumberFormat="1" applyFont="1" applyFill="1" applyBorder="1" applyAlignment="1" applyProtection="1">
      <alignment horizontal="center" vertical="center"/>
      <protection locked="0"/>
    </xf>
    <xf numFmtId="2" fontId="22" fillId="7" borderId="0" xfId="15" applyNumberFormat="1" applyFont="1" applyFill="1" applyAlignment="1" applyProtection="1">
      <alignment horizontal="center" vertical="center"/>
      <protection locked="0"/>
    </xf>
    <xf numFmtId="2" fontId="22" fillId="7" borderId="36" xfId="15" applyNumberFormat="1" applyFont="1" applyFill="1" applyBorder="1" applyAlignment="1" applyProtection="1">
      <alignment horizontal="center" vertical="center"/>
      <protection locked="0"/>
    </xf>
    <xf numFmtId="0" fontId="25" fillId="7" borderId="40" xfId="15" applyFont="1" applyFill="1" applyBorder="1" applyAlignment="1" applyProtection="1">
      <alignment horizontal="center" vertical="center"/>
      <protection locked="0"/>
    </xf>
    <xf numFmtId="169" fontId="25" fillId="7" borderId="40" xfId="0" applyNumberFormat="1" applyFont="1" applyFill="1" applyBorder="1" applyAlignment="1" applyProtection="1">
      <alignment horizontal="center" vertical="center"/>
      <protection locked="0"/>
    </xf>
    <xf numFmtId="169" fontId="25" fillId="7" borderId="41" xfId="0" applyNumberFormat="1" applyFont="1" applyFill="1" applyBorder="1" applyAlignment="1" applyProtection="1">
      <alignment horizontal="center" vertical="center"/>
      <protection locked="0"/>
    </xf>
    <xf numFmtId="0" fontId="18" fillId="11" borderId="54" xfId="0" applyFont="1" applyFill="1" applyBorder="1" applyAlignment="1">
      <alignment horizontal="center" vertical="center"/>
    </xf>
    <xf numFmtId="0" fontId="18" fillId="11" borderId="4" xfId="0" applyFont="1" applyFill="1" applyBorder="1" applyAlignment="1">
      <alignment horizontal="center" vertical="center"/>
    </xf>
    <xf numFmtId="0" fontId="18" fillId="11" borderId="65" xfId="0" applyFont="1" applyFill="1" applyBorder="1" applyAlignment="1">
      <alignment horizontal="center" vertical="center"/>
    </xf>
    <xf numFmtId="165" fontId="16" fillId="0" borderId="123" xfId="12" applyNumberFormat="1" applyFont="1" applyBorder="1" applyAlignment="1">
      <alignment horizontal="center" vertical="center"/>
    </xf>
    <xf numFmtId="165" fontId="16" fillId="0" borderId="124" xfId="12" applyNumberFormat="1" applyFont="1" applyBorder="1" applyAlignment="1">
      <alignment horizontal="center" vertical="center"/>
    </xf>
    <xf numFmtId="0" fontId="18" fillId="11" borderId="74" xfId="0" applyFont="1" applyFill="1" applyBorder="1" applyAlignment="1">
      <alignment horizontal="center" vertical="center" wrapText="1"/>
    </xf>
    <xf numFmtId="0" fontId="18" fillId="11" borderId="98" xfId="0" applyFont="1" applyFill="1" applyBorder="1" applyAlignment="1">
      <alignment horizontal="center" vertical="center" wrapText="1"/>
    </xf>
    <xf numFmtId="0" fontId="18" fillId="11" borderId="109"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5" fillId="0" borderId="58" xfId="0" applyFont="1" applyFill="1" applyBorder="1" applyAlignment="1">
      <alignment horizontal="center" vertical="center" wrapText="1"/>
    </xf>
    <xf numFmtId="173" fontId="16" fillId="23" borderId="5" xfId="25" applyNumberFormat="1" applyFont="1" applyFill="1" applyBorder="1" applyAlignment="1" applyProtection="1">
      <alignment horizontal="right" vertical="center"/>
    </xf>
  </cellXfs>
  <cellStyles count="31">
    <cellStyle name="Moeda" xfId="1" builtinId="4"/>
    <cellStyle name="Normal" xfId="0" builtinId="0"/>
    <cellStyle name="Normal 10" xfId="2"/>
    <cellStyle name="Normal 12" xfId="3"/>
    <cellStyle name="Normal 2" xfId="4"/>
    <cellStyle name="Normal 2 2" xfId="5"/>
    <cellStyle name="Normal 2 2 2" xfId="6"/>
    <cellStyle name="Normal 2 3" xfId="7"/>
    <cellStyle name="Normal 3" xfId="8"/>
    <cellStyle name="Normal 4" xfId="9"/>
    <cellStyle name="Normal 5" xfId="10"/>
    <cellStyle name="Normal 5 2" xfId="11"/>
    <cellStyle name="Normal 6" xfId="12"/>
    <cellStyle name="Normal 7" xfId="13"/>
    <cellStyle name="Normal_F-06-09" xfId="14"/>
    <cellStyle name="Normal_Plan1" xfId="15"/>
    <cellStyle name="Porcentagem" xfId="16" builtinId="5"/>
    <cellStyle name="Porcentagem 2" xfId="17"/>
    <cellStyle name="Porcentagem 4" xfId="18"/>
    <cellStyle name="Separador de milhares 2 2" xfId="19"/>
    <cellStyle name="Separador de milhares 2 2 5" xfId="20"/>
    <cellStyle name="Separador de milhares 2 2 5 2" xfId="21"/>
    <cellStyle name="Separador de milhares 2 2 6" xfId="22"/>
    <cellStyle name="Separador de milhares 3" xfId="23"/>
    <cellStyle name="Separador de milhares 4" xfId="24"/>
    <cellStyle name="Separador de milhares_Projeto Completo Água - Água  Boa(alterado)" xfId="25"/>
    <cellStyle name="Vírgula" xfId="26" builtinId="3"/>
    <cellStyle name="Vírgula 12" xfId="27"/>
    <cellStyle name="Vírgula 2" xfId="28"/>
    <cellStyle name="Vírgula 5" xfId="29"/>
    <cellStyle name="Vírgula 5 6" xfId="30"/>
  </cellStyles>
  <dxfs count="15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rgb="FFFFFFFF"/>
        </patternFill>
      </fill>
    </dxf>
    <dxf>
      <fill>
        <patternFill>
          <bgColor theme="0" tint="-0.14996795556505021"/>
        </patternFill>
      </fill>
    </dxf>
    <dxf>
      <fill>
        <patternFill>
          <bgColor theme="0" tint="-0.14996795556505021"/>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3867150</xdr:colOff>
      <xdr:row>0</xdr:row>
      <xdr:rowOff>123825</xdr:rowOff>
    </xdr:from>
    <xdr:to>
      <xdr:col>3</xdr:col>
      <xdr:colOff>1076325</xdr:colOff>
      <xdr:row>0</xdr:row>
      <xdr:rowOff>762000</xdr:rowOff>
    </xdr:to>
    <xdr:pic>
      <xdr:nvPicPr>
        <xdr:cNvPr id="55570" name="Imagem 2" descr="Descrição: logo1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00" y="12382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142875</xdr:rowOff>
    </xdr:from>
    <xdr:to>
      <xdr:col>1</xdr:col>
      <xdr:colOff>1351189</xdr:colOff>
      <xdr:row>4</xdr:row>
      <xdr:rowOff>85725</xdr:rowOff>
    </xdr:to>
    <xdr:pic>
      <xdr:nvPicPr>
        <xdr:cNvPr id="55571" name="Imagem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4287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238125</xdr:colOff>
      <xdr:row>1</xdr:row>
      <xdr:rowOff>66675</xdr:rowOff>
    </xdr:from>
    <xdr:to>
      <xdr:col>1</xdr:col>
      <xdr:colOff>1123950</xdr:colOff>
      <xdr:row>3</xdr:row>
      <xdr:rowOff>171450</xdr:rowOff>
    </xdr:to>
    <xdr:pic>
      <xdr:nvPicPr>
        <xdr:cNvPr id="63502"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28600"/>
          <a:ext cx="15049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238125</xdr:colOff>
      <xdr:row>0</xdr:row>
      <xdr:rowOff>161925</xdr:rowOff>
    </xdr:from>
    <xdr:to>
      <xdr:col>2</xdr:col>
      <xdr:colOff>247650</xdr:colOff>
      <xdr:row>4</xdr:row>
      <xdr:rowOff>47625</xdr:rowOff>
    </xdr:to>
    <xdr:pic>
      <xdr:nvPicPr>
        <xdr:cNvPr id="53428"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61925"/>
          <a:ext cx="1238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2</xdr:col>
      <xdr:colOff>542925</xdr:colOff>
      <xdr:row>4</xdr:row>
      <xdr:rowOff>142875</xdr:rowOff>
    </xdr:to>
    <xdr:pic>
      <xdr:nvPicPr>
        <xdr:cNvPr id="37297"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38100"/>
          <a:ext cx="1638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2</xdr:col>
      <xdr:colOff>314325</xdr:colOff>
      <xdr:row>4</xdr:row>
      <xdr:rowOff>28575</xdr:rowOff>
    </xdr:to>
    <xdr:pic>
      <xdr:nvPicPr>
        <xdr:cNvPr id="62498"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66675"/>
          <a:ext cx="13430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257175</xdr:colOff>
      <xdr:row>0</xdr:row>
      <xdr:rowOff>85725</xdr:rowOff>
    </xdr:from>
    <xdr:to>
      <xdr:col>1</xdr:col>
      <xdr:colOff>1647825</xdr:colOff>
      <xdr:row>4</xdr:row>
      <xdr:rowOff>95250</xdr:rowOff>
    </xdr:to>
    <xdr:pic>
      <xdr:nvPicPr>
        <xdr:cNvPr id="50372"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85725"/>
          <a:ext cx="22860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200025</xdr:colOff>
      <xdr:row>1</xdr:row>
      <xdr:rowOff>9525</xdr:rowOff>
    </xdr:from>
    <xdr:to>
      <xdr:col>1</xdr:col>
      <xdr:colOff>476250</xdr:colOff>
      <xdr:row>4</xdr:row>
      <xdr:rowOff>95250</xdr:rowOff>
    </xdr:to>
    <xdr:pic>
      <xdr:nvPicPr>
        <xdr:cNvPr id="51393"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80975"/>
          <a:ext cx="1714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352425</xdr:colOff>
      <xdr:row>0</xdr:row>
      <xdr:rowOff>85725</xdr:rowOff>
    </xdr:from>
    <xdr:to>
      <xdr:col>2</xdr:col>
      <xdr:colOff>676275</xdr:colOff>
      <xdr:row>4</xdr:row>
      <xdr:rowOff>0</xdr:rowOff>
    </xdr:to>
    <xdr:pic>
      <xdr:nvPicPr>
        <xdr:cNvPr id="52412"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85725"/>
          <a:ext cx="15525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27709</xdr:colOff>
      <xdr:row>0</xdr:row>
      <xdr:rowOff>121227</xdr:rowOff>
    </xdr:from>
    <xdr:to>
      <xdr:col>4</xdr:col>
      <xdr:colOff>484909</xdr:colOff>
      <xdr:row>4</xdr:row>
      <xdr:rowOff>250247</xdr:rowOff>
    </xdr:to>
    <xdr:pic>
      <xdr:nvPicPr>
        <xdr:cNvPr id="64525"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09" y="121227"/>
          <a:ext cx="2673927"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0</xdr:row>
      <xdr:rowOff>161925</xdr:rowOff>
    </xdr:from>
    <xdr:to>
      <xdr:col>2</xdr:col>
      <xdr:colOff>296141</xdr:colOff>
      <xdr:row>4</xdr:row>
      <xdr:rowOff>161925</xdr:rowOff>
    </xdr:to>
    <xdr:pic>
      <xdr:nvPicPr>
        <xdr:cNvPr id="54419"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1925"/>
          <a:ext cx="26955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371475</xdr:colOff>
      <xdr:row>0</xdr:row>
      <xdr:rowOff>419100</xdr:rowOff>
    </xdr:from>
    <xdr:to>
      <xdr:col>3</xdr:col>
      <xdr:colOff>1114425</xdr:colOff>
      <xdr:row>4</xdr:row>
      <xdr:rowOff>95250</xdr:rowOff>
    </xdr:to>
    <xdr:pic>
      <xdr:nvPicPr>
        <xdr:cNvPr id="58459"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419100"/>
          <a:ext cx="510540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296771</xdr:colOff>
      <xdr:row>1</xdr:row>
      <xdr:rowOff>8217</xdr:rowOff>
    </xdr:from>
    <xdr:to>
      <xdr:col>1</xdr:col>
      <xdr:colOff>2785356</xdr:colOff>
      <xdr:row>3</xdr:row>
      <xdr:rowOff>448235</xdr:rowOff>
    </xdr:to>
    <xdr:pic>
      <xdr:nvPicPr>
        <xdr:cNvPr id="56456"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771" y="512482"/>
          <a:ext cx="3198291" cy="144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361950</xdr:colOff>
      <xdr:row>0</xdr:row>
      <xdr:rowOff>123825</xdr:rowOff>
    </xdr:from>
    <xdr:to>
      <xdr:col>1</xdr:col>
      <xdr:colOff>1562100</xdr:colOff>
      <xdr:row>4</xdr:row>
      <xdr:rowOff>76200</xdr:rowOff>
    </xdr:to>
    <xdr:pic>
      <xdr:nvPicPr>
        <xdr:cNvPr id="43253"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23825"/>
          <a:ext cx="17526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2</xdr:col>
      <xdr:colOff>314325</xdr:colOff>
      <xdr:row>4</xdr:row>
      <xdr:rowOff>152400</xdr:rowOff>
    </xdr:to>
    <xdr:pic>
      <xdr:nvPicPr>
        <xdr:cNvPr id="57465" name="Imagem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23825"/>
          <a:ext cx="14192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95250</xdr:rowOff>
    </xdr:from>
    <xdr:to>
      <xdr:col>2</xdr:col>
      <xdr:colOff>161925</xdr:colOff>
      <xdr:row>4</xdr:row>
      <xdr:rowOff>28575</xdr:rowOff>
    </xdr:to>
    <xdr:pic>
      <xdr:nvPicPr>
        <xdr:cNvPr id="47312"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95250"/>
          <a:ext cx="11239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152400</xdr:rowOff>
    </xdr:from>
    <xdr:to>
      <xdr:col>1</xdr:col>
      <xdr:colOff>1123950</xdr:colOff>
      <xdr:row>4</xdr:row>
      <xdr:rowOff>0</xdr:rowOff>
    </xdr:to>
    <xdr:pic>
      <xdr:nvPicPr>
        <xdr:cNvPr id="46293" name="Image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52400"/>
          <a:ext cx="1638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Henderson\N%20e%20O\Ruas%20N,%20O%20e%20Fazendinha%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niffer.nascimento/Downloads/Composicao%20ORSE%20-%2012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ORÇAMENTO GERAL"/>
      <sheetName val="MC-DRE"/>
      <sheetName val="MC-TER"/>
      <sheetName val="MC-PAV"/>
      <sheetName val="CRONOGRAMA"/>
      <sheetName val="CPU-1"/>
      <sheetName val="CPU-I"/>
      <sheetName val="CPU-II"/>
      <sheetName val="CPU-III"/>
      <sheetName val="CPU-V"/>
      <sheetName val="CPU-VI"/>
      <sheetName val="CPU-VII"/>
      <sheetName val="ENCARGOS"/>
      <sheetName val="BDI"/>
      <sheetName val="PV PARA REDE 600"/>
    </sheetNames>
    <sheetDataSet>
      <sheetData sheetId="0"/>
      <sheetData sheetId="1"/>
      <sheetData sheetId="2"/>
      <sheetData sheetId="3"/>
      <sheetData sheetId="4"/>
      <sheetData sheetId="5"/>
      <sheetData sheetId="6">
        <row r="19">
          <cell r="K19">
            <v>25293.599999999999</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ORSE"/>
    </sheetNames>
    <sheetDataSet>
      <sheetData sheetId="0" refreshError="1">
        <row r="12">
          <cell r="H12" t="str">
            <v xml:space="preserve"> 0,0059524</v>
          </cell>
        </row>
        <row r="20">
          <cell r="H20" t="str">
            <v xml:space="preserve"> 0,0178571</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O39"/>
  <sheetViews>
    <sheetView view="pageBreakPreview" zoomScale="70" zoomScaleNormal="100" zoomScaleSheetLayoutView="70" workbookViewId="0">
      <selection activeCell="A11" sqref="A11:XFD11"/>
    </sheetView>
  </sheetViews>
  <sheetFormatPr defaultRowHeight="12.75" x14ac:dyDescent="0.2"/>
  <cols>
    <col min="1" max="1" width="7.28515625" style="1" customWidth="1"/>
    <col min="2" max="2" width="28" style="299" customWidth="1"/>
    <col min="3" max="3" width="25.7109375" style="1" bestFit="1" customWidth="1"/>
    <col min="4" max="4" width="20.7109375" style="1" customWidth="1"/>
    <col min="5" max="5" width="14" style="1" customWidth="1"/>
    <col min="6" max="6" width="13.85546875" style="1" customWidth="1"/>
    <col min="7" max="7" width="17.28515625" style="1" customWidth="1"/>
    <col min="8" max="8" width="13.85546875" style="1" hidden="1" customWidth="1"/>
    <col min="9" max="9" width="17.28515625" style="1" hidden="1" customWidth="1"/>
    <col min="10" max="10" width="22" style="1" hidden="1" customWidth="1"/>
    <col min="11" max="11" width="20.140625" style="1" hidden="1" customWidth="1"/>
    <col min="12" max="12" width="17.28515625" style="1" customWidth="1"/>
    <col min="13" max="13" width="9.140625" style="1"/>
    <col min="14" max="14" width="15.42578125" style="1" bestFit="1" customWidth="1"/>
    <col min="15" max="15" width="13.85546875" style="1" bestFit="1" customWidth="1"/>
    <col min="16" max="16384" width="9.140625" style="1"/>
  </cols>
  <sheetData>
    <row r="1" spans="1:15" s="35" customFormat="1" ht="15" customHeight="1" x14ac:dyDescent="0.2">
      <c r="A1" s="660"/>
      <c r="B1" s="661"/>
      <c r="C1" s="661"/>
      <c r="D1" s="661"/>
      <c r="E1" s="661"/>
      <c r="F1" s="661"/>
      <c r="G1" s="661"/>
      <c r="H1" s="661"/>
      <c r="I1" s="661"/>
      <c r="J1" s="661"/>
      <c r="K1" s="661"/>
      <c r="L1" s="662"/>
    </row>
    <row r="2" spans="1:15" s="35" customFormat="1" ht="15" customHeight="1" x14ac:dyDescent="0.2">
      <c r="A2" s="663" t="s">
        <v>19</v>
      </c>
      <c r="B2" s="664"/>
      <c r="C2" s="664"/>
      <c r="D2" s="664"/>
      <c r="E2" s="664"/>
      <c r="F2" s="664"/>
      <c r="G2" s="664"/>
      <c r="H2" s="664"/>
      <c r="I2" s="664"/>
      <c r="J2" s="664"/>
      <c r="K2" s="664"/>
      <c r="L2" s="665"/>
    </row>
    <row r="3" spans="1:15" s="35" customFormat="1" ht="15" customHeight="1" x14ac:dyDescent="0.2">
      <c r="A3" s="666" t="s">
        <v>193</v>
      </c>
      <c r="B3" s="667"/>
      <c r="C3" s="667"/>
      <c r="D3" s="667"/>
      <c r="E3" s="667"/>
      <c r="F3" s="667"/>
      <c r="G3" s="667"/>
      <c r="H3" s="667"/>
      <c r="I3" s="667"/>
      <c r="J3" s="667"/>
      <c r="K3" s="667"/>
      <c r="L3" s="668"/>
    </row>
    <row r="4" spans="1:15" s="35" customFormat="1" ht="15" customHeight="1" x14ac:dyDescent="0.2">
      <c r="A4" s="666" t="s">
        <v>18</v>
      </c>
      <c r="B4" s="667"/>
      <c r="C4" s="667"/>
      <c r="D4" s="667"/>
      <c r="E4" s="667"/>
      <c r="F4" s="667"/>
      <c r="G4" s="667"/>
      <c r="H4" s="667"/>
      <c r="I4" s="667"/>
      <c r="J4" s="667"/>
      <c r="K4" s="667"/>
      <c r="L4" s="668"/>
    </row>
    <row r="5" spans="1:15" s="35" customFormat="1" ht="15" customHeight="1" thickBot="1" x14ac:dyDescent="0.25">
      <c r="A5" s="104"/>
      <c r="B5" s="105"/>
      <c r="C5" s="105"/>
      <c r="D5" s="105"/>
      <c r="E5" s="105"/>
      <c r="F5" s="105"/>
      <c r="G5" s="105"/>
      <c r="H5" s="105"/>
      <c r="I5" s="105"/>
      <c r="J5" s="105"/>
      <c r="K5" s="105"/>
      <c r="L5" s="106"/>
    </row>
    <row r="6" spans="1:15" s="35" customFormat="1" ht="21.75" customHeight="1" thickTop="1" thickBot="1" x14ac:dyDescent="0.25">
      <c r="A6" s="669" t="s">
        <v>557</v>
      </c>
      <c r="B6" s="670"/>
      <c r="C6" s="670"/>
      <c r="D6" s="670"/>
      <c r="E6" s="670"/>
      <c r="F6" s="670"/>
      <c r="G6" s="670"/>
      <c r="H6" s="670"/>
      <c r="I6" s="670"/>
      <c r="J6" s="670"/>
      <c r="K6" s="670"/>
      <c r="L6" s="671"/>
    </row>
    <row r="7" spans="1:15" s="35" customFormat="1" ht="35.25" customHeight="1" thickTop="1" thickBot="1" x14ac:dyDescent="0.25">
      <c r="A7" s="672" t="str">
        <f>'ORÇAMENTO GERAL'!C7</f>
        <v>EXECUÇÃO DOS SERVIÇOS DE DRENAGEM SUPERFICIAL E DRENAGEM PROFUNDA  NA TRAVESSA BEIRA RIO E RUA MOCAJATUBA - NO DISTRITO INDUSTRIAL  NO MUNICÍPIO DE ANANINDEUA (PA).</v>
      </c>
      <c r="B7" s="673"/>
      <c r="C7" s="673"/>
      <c r="D7" s="673"/>
      <c r="E7" s="673"/>
      <c r="F7" s="673"/>
      <c r="G7" s="673"/>
      <c r="H7" s="673"/>
      <c r="I7" s="673"/>
      <c r="J7" s="673"/>
      <c r="K7" s="673"/>
      <c r="L7" s="674"/>
    </row>
    <row r="8" spans="1:15" ht="34.5" customHeight="1" thickBot="1" x14ac:dyDescent="0.25">
      <c r="A8" s="421" t="s">
        <v>7</v>
      </c>
      <c r="B8" s="422" t="s">
        <v>235</v>
      </c>
      <c r="C8" s="422" t="s">
        <v>374</v>
      </c>
      <c r="D8" s="422" t="s">
        <v>375</v>
      </c>
      <c r="E8" s="422" t="s">
        <v>396</v>
      </c>
      <c r="F8" s="423" t="s">
        <v>372</v>
      </c>
      <c r="G8" s="424" t="s">
        <v>542</v>
      </c>
      <c r="H8" s="424" t="s">
        <v>545</v>
      </c>
      <c r="I8" s="424" t="s">
        <v>544</v>
      </c>
      <c r="J8" s="424" t="s">
        <v>399</v>
      </c>
      <c r="K8" s="423" t="s">
        <v>543</v>
      </c>
      <c r="L8" s="423" t="s">
        <v>23</v>
      </c>
    </row>
    <row r="9" spans="1:15" s="386" customFormat="1" ht="49.5" customHeight="1" x14ac:dyDescent="0.2">
      <c r="A9" s="381">
        <v>1</v>
      </c>
      <c r="B9" s="640" t="s">
        <v>716</v>
      </c>
      <c r="C9" s="452"/>
      <c r="D9" s="382" t="s">
        <v>717</v>
      </c>
      <c r="E9" s="382">
        <v>400</v>
      </c>
      <c r="F9" s="383">
        <v>6</v>
      </c>
      <c r="G9" s="652">
        <f>'MC-DRE'!AD14+'MC-DRE'!AD30+'MC-DRE'!AD130+'MC-DRE'!AD142+'MC-DRE'!AD154+'MC-DRE'!AD166+'MC-DRE'!AD178</f>
        <v>0</v>
      </c>
      <c r="H9" s="384">
        <f>'MC-PAV'!W23</f>
        <v>0</v>
      </c>
      <c r="I9" s="384">
        <f>'MC-PAV'!AC13</f>
        <v>87930.93</v>
      </c>
      <c r="J9" s="652">
        <f>'MC-TER'!AH14</f>
        <v>0</v>
      </c>
      <c r="K9" s="384">
        <f>'MC-PAV'!AJ13</f>
        <v>0</v>
      </c>
      <c r="L9" s="385">
        <f>G9+H9+I9+J9+K9+$O$9-0.01</f>
        <v>96247.11</v>
      </c>
      <c r="N9" s="419" t="s">
        <v>581</v>
      </c>
      <c r="O9" s="415">
        <f>('ORÇAMENTO GERAL'!K16+'ORÇAMENTO GERAL'!K126)/3</f>
        <v>8316.19</v>
      </c>
    </row>
    <row r="10" spans="1:15" s="386" customFormat="1" ht="57" customHeight="1" thickBot="1" x14ac:dyDescent="0.25">
      <c r="A10" s="381">
        <v>2</v>
      </c>
      <c r="B10" s="640" t="s">
        <v>718</v>
      </c>
      <c r="C10" s="452"/>
      <c r="D10" s="382" t="s">
        <v>717</v>
      </c>
      <c r="E10" s="382">
        <v>275</v>
      </c>
      <c r="F10" s="383">
        <v>6</v>
      </c>
      <c r="G10" s="652">
        <f>'MC-DRE'!AD15+'MC-DRE'!AD31+'MC-DRE'!AD131+'MC-DRE'!AD143+'MC-DRE'!AD155+'MC-DRE'!AD167+'MC-DRE'!AD179</f>
        <v>258005.67</v>
      </c>
      <c r="H10" s="384">
        <f>'MC-PAV'!W24</f>
        <v>0</v>
      </c>
      <c r="I10" s="384">
        <f>'MC-PAV'!AC14</f>
        <v>60452.51</v>
      </c>
      <c r="J10" s="652">
        <f>'MC-TER'!AH15</f>
        <v>0</v>
      </c>
      <c r="K10" s="384">
        <f>'MC-PAV'!AJ14</f>
        <v>0</v>
      </c>
      <c r="L10" s="385">
        <f t="shared" ref="L10:L11" si="0">G10+H10+I10+J10+K10+$O$9</f>
        <v>326774.37</v>
      </c>
    </row>
    <row r="11" spans="1:15" s="386" customFormat="1" ht="39.950000000000003" hidden="1" customHeight="1" thickBot="1" x14ac:dyDescent="0.25">
      <c r="A11" s="387"/>
      <c r="B11" s="641"/>
      <c r="C11" s="452"/>
      <c r="D11" s="382"/>
      <c r="E11" s="382"/>
      <c r="F11" s="383"/>
      <c r="G11" s="652">
        <f>'MC-DRE'!AD16+'MC-DRE'!AD32+'MC-DRE'!AD132+'MC-DRE'!AD144+'MC-DRE'!AD156+'MC-DRE'!AD168+'MC-DRE'!AD180</f>
        <v>0</v>
      </c>
      <c r="H11" s="384">
        <f>'MC-PAV'!W25</f>
        <v>0</v>
      </c>
      <c r="I11" s="384">
        <f>'MC-PAV'!AC15</f>
        <v>0</v>
      </c>
      <c r="J11" s="652">
        <f>'MC-TER'!AH16</f>
        <v>0</v>
      </c>
      <c r="K11" s="384">
        <f>'MC-PAV'!AJ15</f>
        <v>0</v>
      </c>
      <c r="L11" s="385">
        <f t="shared" si="0"/>
        <v>8316.19</v>
      </c>
    </row>
    <row r="12" spans="1:15" s="386" customFormat="1" ht="39.950000000000003" hidden="1" customHeight="1" x14ac:dyDescent="0.2">
      <c r="A12" s="387">
        <v>4</v>
      </c>
      <c r="B12" s="641"/>
      <c r="C12" s="452"/>
      <c r="D12" s="382"/>
      <c r="E12" s="382"/>
      <c r="F12" s="383"/>
      <c r="G12" s="652"/>
      <c r="H12" s="384">
        <f>'MC-PAV'!W26</f>
        <v>0</v>
      </c>
      <c r="I12" s="384">
        <f>'MC-PAV'!AC16</f>
        <v>0</v>
      </c>
      <c r="J12" s="652"/>
      <c r="K12" s="384"/>
      <c r="L12" s="385"/>
    </row>
    <row r="13" spans="1:15" s="386" customFormat="1" ht="39.950000000000003" hidden="1" customHeight="1" x14ac:dyDescent="0.2">
      <c r="A13" s="387">
        <v>5</v>
      </c>
      <c r="B13" s="641"/>
      <c r="C13" s="452"/>
      <c r="D13" s="382"/>
      <c r="E13" s="382"/>
      <c r="F13" s="383"/>
      <c r="G13" s="652"/>
      <c r="H13" s="384">
        <f>'MC-PAV'!W27</f>
        <v>0</v>
      </c>
      <c r="I13" s="384">
        <f>'MC-PAV'!AC17</f>
        <v>0</v>
      </c>
      <c r="J13" s="652"/>
      <c r="K13" s="384"/>
      <c r="L13" s="385"/>
    </row>
    <row r="14" spans="1:15" s="386" customFormat="1" ht="39.950000000000003" hidden="1" customHeight="1" x14ac:dyDescent="0.2">
      <c r="A14" s="387">
        <v>6</v>
      </c>
      <c r="B14" s="641"/>
      <c r="C14" s="452"/>
      <c r="D14" s="382"/>
      <c r="E14" s="382"/>
      <c r="F14" s="383"/>
      <c r="G14" s="652"/>
      <c r="H14" s="384">
        <f>'MC-PAV'!W28</f>
        <v>0</v>
      </c>
      <c r="I14" s="384">
        <f>'MC-PAV'!AC18</f>
        <v>0</v>
      </c>
      <c r="J14" s="652"/>
      <c r="K14" s="384"/>
      <c r="L14" s="385"/>
    </row>
    <row r="15" spans="1:15" s="386" customFormat="1" ht="39.950000000000003" hidden="1" customHeight="1" x14ac:dyDescent="0.2">
      <c r="A15" s="387">
        <v>7</v>
      </c>
      <c r="B15" s="641"/>
      <c r="C15" s="452"/>
      <c r="D15" s="382"/>
      <c r="E15" s="382"/>
      <c r="F15" s="383"/>
      <c r="G15" s="652"/>
      <c r="H15" s="384">
        <f>'MC-PAV'!W29</f>
        <v>0</v>
      </c>
      <c r="I15" s="384">
        <f>'MC-PAV'!AC19</f>
        <v>0</v>
      </c>
      <c r="J15" s="652"/>
      <c r="K15" s="384"/>
      <c r="L15" s="385"/>
    </row>
    <row r="16" spans="1:15" s="386" customFormat="1" ht="39.950000000000003" hidden="1" customHeight="1" x14ac:dyDescent="0.2">
      <c r="A16" s="381">
        <v>8</v>
      </c>
      <c r="B16" s="641"/>
      <c r="C16" s="453"/>
      <c r="D16" s="382"/>
      <c r="E16" s="382"/>
      <c r="F16" s="383"/>
      <c r="G16" s="652"/>
      <c r="H16" s="384">
        <f>'MC-PAV'!W30</f>
        <v>0</v>
      </c>
      <c r="I16" s="384">
        <f>'MC-PAV'!AC20</f>
        <v>0</v>
      </c>
      <c r="J16" s="652"/>
      <c r="K16" s="384"/>
      <c r="L16" s="385"/>
    </row>
    <row r="17" spans="1:12" s="386" customFormat="1" ht="39.950000000000003" hidden="1" customHeight="1" x14ac:dyDescent="0.2">
      <c r="A17" s="387">
        <v>9</v>
      </c>
      <c r="B17" s="641"/>
      <c r="C17" s="453"/>
      <c r="D17" s="382"/>
      <c r="E17" s="382"/>
      <c r="F17" s="383"/>
      <c r="G17" s="652"/>
      <c r="H17" s="384">
        <f>'MC-PAV'!W31</f>
        <v>0</v>
      </c>
      <c r="I17" s="384">
        <f>'MC-PAV'!AC21</f>
        <v>0</v>
      </c>
      <c r="J17" s="652"/>
      <c r="K17" s="384"/>
      <c r="L17" s="385"/>
    </row>
    <row r="18" spans="1:12" s="386" customFormat="1" ht="39.950000000000003" hidden="1" customHeight="1" x14ac:dyDescent="0.2">
      <c r="A18" s="387">
        <v>10</v>
      </c>
      <c r="B18" s="641"/>
      <c r="C18" s="453"/>
      <c r="D18" s="382"/>
      <c r="E18" s="382"/>
      <c r="F18" s="383"/>
      <c r="G18" s="652"/>
      <c r="H18" s="384">
        <f>'MC-PAV'!W32</f>
        <v>0</v>
      </c>
      <c r="I18" s="384">
        <f>'MC-PAV'!AC22</f>
        <v>0</v>
      </c>
      <c r="J18" s="652"/>
      <c r="K18" s="384"/>
      <c r="L18" s="385"/>
    </row>
    <row r="19" spans="1:12" s="386" customFormat="1" ht="42" hidden="1" customHeight="1" x14ac:dyDescent="0.2">
      <c r="A19" s="387">
        <v>11</v>
      </c>
      <c r="B19" s="641"/>
      <c r="C19" s="453"/>
      <c r="D19" s="382"/>
      <c r="E19" s="382"/>
      <c r="F19" s="383"/>
      <c r="G19" s="652"/>
      <c r="H19" s="384">
        <f>'MC-PAV'!W33</f>
        <v>0</v>
      </c>
      <c r="I19" s="384">
        <f>'MC-PAV'!AC23</f>
        <v>0</v>
      </c>
      <c r="J19" s="652"/>
      <c r="K19" s="384"/>
      <c r="L19" s="385"/>
    </row>
    <row r="20" spans="1:12" s="386" customFormat="1" ht="39.950000000000003" hidden="1" customHeight="1" x14ac:dyDescent="0.2">
      <c r="A20" s="387">
        <v>12</v>
      </c>
      <c r="B20" s="641"/>
      <c r="C20" s="452"/>
      <c r="D20" s="382"/>
      <c r="E20" s="382"/>
      <c r="F20" s="383"/>
      <c r="G20" s="652"/>
      <c r="H20" s="384">
        <f>'MC-PAV'!W34</f>
        <v>0</v>
      </c>
      <c r="I20" s="384">
        <f>'MC-PAV'!AC24</f>
        <v>0</v>
      </c>
      <c r="J20" s="652"/>
      <c r="K20" s="384"/>
      <c r="L20" s="385"/>
    </row>
    <row r="21" spans="1:12" s="386" customFormat="1" ht="39.950000000000003" hidden="1" customHeight="1" x14ac:dyDescent="0.2">
      <c r="A21" s="387">
        <v>13</v>
      </c>
      <c r="B21" s="641"/>
      <c r="C21" s="452"/>
      <c r="D21" s="382"/>
      <c r="E21" s="382"/>
      <c r="F21" s="383"/>
      <c r="G21" s="652"/>
      <c r="H21" s="384">
        <f>'MC-PAV'!W35</f>
        <v>0</v>
      </c>
      <c r="I21" s="384">
        <f>'MC-PAV'!AC25</f>
        <v>0</v>
      </c>
      <c r="J21" s="652"/>
      <c r="K21" s="384"/>
      <c r="L21" s="385"/>
    </row>
    <row r="22" spans="1:12" s="386" customFormat="1" ht="39.950000000000003" hidden="1" customHeight="1" x14ac:dyDescent="0.2">
      <c r="A22" s="381">
        <v>14</v>
      </c>
      <c r="B22" s="641"/>
      <c r="C22" s="453"/>
      <c r="D22" s="382"/>
      <c r="E22" s="382"/>
      <c r="F22" s="383"/>
      <c r="G22" s="652"/>
      <c r="H22" s="384">
        <f>'MC-PAV'!W36</f>
        <v>0</v>
      </c>
      <c r="I22" s="384">
        <f>'MC-PAV'!AC26</f>
        <v>0</v>
      </c>
      <c r="J22" s="652"/>
      <c r="K22" s="384"/>
      <c r="L22" s="385"/>
    </row>
    <row r="23" spans="1:12" s="386" customFormat="1" ht="39.950000000000003" hidden="1" customHeight="1" x14ac:dyDescent="0.2">
      <c r="A23" s="387">
        <v>15</v>
      </c>
      <c r="B23" s="641"/>
      <c r="C23" s="453"/>
      <c r="D23" s="382"/>
      <c r="E23" s="382"/>
      <c r="F23" s="383"/>
      <c r="G23" s="652"/>
      <c r="H23" s="384">
        <f>'MC-PAV'!W37</f>
        <v>0</v>
      </c>
      <c r="I23" s="384">
        <f>'MC-PAV'!AC27</f>
        <v>0</v>
      </c>
      <c r="J23" s="652"/>
      <c r="K23" s="384"/>
      <c r="L23" s="385"/>
    </row>
    <row r="24" spans="1:12" s="386" customFormat="1" ht="39.950000000000003" hidden="1" customHeight="1" x14ac:dyDescent="0.2">
      <c r="A24" s="387">
        <v>16</v>
      </c>
      <c r="B24" s="641"/>
      <c r="C24" s="453"/>
      <c r="D24" s="382"/>
      <c r="E24" s="382"/>
      <c r="F24" s="383"/>
      <c r="G24" s="652"/>
      <c r="H24" s="384">
        <f>'MC-PAV'!W38</f>
        <v>0</v>
      </c>
      <c r="I24" s="384">
        <f>'MC-PAV'!AC28</f>
        <v>0</v>
      </c>
      <c r="J24" s="652"/>
      <c r="K24" s="384"/>
      <c r="L24" s="385"/>
    </row>
    <row r="25" spans="1:12" s="386" customFormat="1" ht="39.950000000000003" hidden="1" customHeight="1" x14ac:dyDescent="0.2">
      <c r="A25" s="387">
        <v>17</v>
      </c>
      <c r="B25" s="641"/>
      <c r="C25" s="453"/>
      <c r="D25" s="382"/>
      <c r="E25" s="382"/>
      <c r="F25" s="383"/>
      <c r="G25" s="652"/>
      <c r="H25" s="384">
        <f>'MC-PAV'!W39</f>
        <v>0</v>
      </c>
      <c r="I25" s="384">
        <f>'MC-PAV'!AC29</f>
        <v>0</v>
      </c>
      <c r="J25" s="652"/>
      <c r="K25" s="384"/>
      <c r="L25" s="385"/>
    </row>
    <row r="26" spans="1:12" s="386" customFormat="1" ht="39.950000000000003" hidden="1" customHeight="1" x14ac:dyDescent="0.2">
      <c r="A26" s="387">
        <v>18</v>
      </c>
      <c r="B26" s="641"/>
      <c r="C26" s="388"/>
      <c r="D26" s="388"/>
      <c r="E26" s="382"/>
      <c r="F26" s="383"/>
      <c r="G26" s="652"/>
      <c r="H26" s="384">
        <f>'MC-PAV'!W40</f>
        <v>0</v>
      </c>
      <c r="I26" s="384">
        <f>'MC-PAV'!AC30</f>
        <v>0</v>
      </c>
      <c r="J26" s="384"/>
      <c r="K26" s="384"/>
      <c r="L26" s="385"/>
    </row>
    <row r="27" spans="1:12" s="386" customFormat="1" ht="39.950000000000003" hidden="1" customHeight="1" x14ac:dyDescent="0.2">
      <c r="A27" s="387">
        <v>19</v>
      </c>
      <c r="B27" s="641"/>
      <c r="C27" s="388"/>
      <c r="D27" s="388"/>
      <c r="E27" s="382"/>
      <c r="F27" s="383"/>
      <c r="G27" s="652"/>
      <c r="H27" s="384">
        <f>'MC-PAV'!W41</f>
        <v>0</v>
      </c>
      <c r="I27" s="384">
        <f>'MC-PAV'!AC31</f>
        <v>0</v>
      </c>
      <c r="J27" s="384"/>
      <c r="K27" s="384"/>
      <c r="L27" s="385"/>
    </row>
    <row r="28" spans="1:12" s="386" customFormat="1" ht="39.950000000000003" hidden="1" customHeight="1" thickBot="1" x14ac:dyDescent="0.25">
      <c r="A28" s="387">
        <v>20</v>
      </c>
      <c r="B28" s="642"/>
      <c r="C28" s="389"/>
      <c r="D28" s="389"/>
      <c r="E28" s="382"/>
      <c r="F28" s="383"/>
      <c r="G28" s="652"/>
      <c r="H28" s="384">
        <f>'MC-PAV'!W42</f>
        <v>0</v>
      </c>
      <c r="I28" s="384">
        <f>'MC-PAV'!AC32</f>
        <v>0</v>
      </c>
      <c r="J28" s="384"/>
      <c r="K28" s="384"/>
      <c r="L28" s="385"/>
    </row>
    <row r="29" spans="1:12" s="316" customFormat="1" ht="30" customHeight="1" thickBot="1" x14ac:dyDescent="0.25">
      <c r="A29" s="656" t="s">
        <v>397</v>
      </c>
      <c r="B29" s="657"/>
      <c r="C29" s="657"/>
      <c r="D29" s="657"/>
      <c r="E29" s="657"/>
      <c r="F29" s="658"/>
      <c r="G29" s="420">
        <f t="shared" ref="G29:L29" si="1">SUM(G9:G28)</f>
        <v>258005.67</v>
      </c>
      <c r="H29" s="420">
        <f t="shared" si="1"/>
        <v>0</v>
      </c>
      <c r="I29" s="420">
        <f t="shared" si="1"/>
        <v>148383.44</v>
      </c>
      <c r="J29" s="420">
        <f t="shared" si="1"/>
        <v>0</v>
      </c>
      <c r="K29" s="420">
        <f t="shared" si="1"/>
        <v>0</v>
      </c>
      <c r="L29" s="420">
        <f t="shared" si="1"/>
        <v>431337.67</v>
      </c>
    </row>
    <row r="31" spans="1:12" x14ac:dyDescent="0.2">
      <c r="A31" s="659" t="s">
        <v>489</v>
      </c>
      <c r="B31" s="659"/>
      <c r="C31" s="659"/>
      <c r="D31" s="659"/>
      <c r="E31" s="659"/>
      <c r="F31" s="659"/>
      <c r="G31" s="659"/>
      <c r="H31" s="659"/>
      <c r="I31" s="659"/>
      <c r="J31" s="659"/>
      <c r="K31" s="659"/>
      <c r="L31" s="659"/>
    </row>
    <row r="32" spans="1:12" x14ac:dyDescent="0.2">
      <c r="A32" s="659"/>
      <c r="B32" s="659"/>
      <c r="C32" s="659"/>
      <c r="D32" s="659"/>
      <c r="E32" s="659"/>
      <c r="F32" s="659"/>
      <c r="G32" s="659"/>
      <c r="H32" s="659"/>
      <c r="I32" s="659"/>
      <c r="J32" s="659"/>
      <c r="K32" s="659"/>
      <c r="L32" s="659"/>
    </row>
    <row r="33" spans="1:12" x14ac:dyDescent="0.2">
      <c r="A33" s="659"/>
      <c r="B33" s="659"/>
      <c r="C33" s="659"/>
      <c r="D33" s="659"/>
      <c r="E33" s="659"/>
      <c r="F33" s="659"/>
      <c r="G33" s="659"/>
      <c r="H33" s="659"/>
      <c r="I33" s="659"/>
      <c r="J33" s="659"/>
      <c r="K33" s="659"/>
      <c r="L33" s="659"/>
    </row>
    <row r="34" spans="1:12" x14ac:dyDescent="0.2">
      <c r="A34" s="655" t="s">
        <v>487</v>
      </c>
      <c r="B34" s="655"/>
      <c r="C34" s="655"/>
      <c r="D34" s="655"/>
      <c r="E34" s="655"/>
      <c r="F34" s="655"/>
      <c r="G34" s="655"/>
      <c r="H34" s="655"/>
      <c r="I34" s="655"/>
      <c r="J34" s="655"/>
      <c r="K34" s="655"/>
      <c r="L34" s="655"/>
    </row>
    <row r="35" spans="1:12" x14ac:dyDescent="0.2">
      <c r="A35" s="655"/>
      <c r="B35" s="655"/>
      <c r="C35" s="655"/>
      <c r="D35" s="655"/>
      <c r="E35" s="655"/>
      <c r="F35" s="655"/>
      <c r="G35" s="655"/>
      <c r="H35" s="655"/>
      <c r="I35" s="655"/>
      <c r="J35" s="655"/>
      <c r="K35" s="655"/>
      <c r="L35" s="655"/>
    </row>
    <row r="36" spans="1:12" x14ac:dyDescent="0.2">
      <c r="A36" s="655"/>
      <c r="B36" s="655"/>
      <c r="C36" s="655"/>
      <c r="D36" s="655"/>
      <c r="E36" s="655"/>
      <c r="F36" s="655"/>
      <c r="G36" s="655"/>
      <c r="H36" s="655"/>
      <c r="I36" s="655"/>
      <c r="J36" s="655"/>
      <c r="K36" s="655"/>
      <c r="L36" s="655"/>
    </row>
    <row r="37" spans="1:12" x14ac:dyDescent="0.2">
      <c r="A37" s="655" t="s">
        <v>488</v>
      </c>
      <c r="B37" s="655"/>
      <c r="C37" s="655"/>
      <c r="D37" s="655"/>
      <c r="E37" s="655"/>
      <c r="F37" s="655"/>
      <c r="G37" s="655"/>
      <c r="H37" s="655"/>
      <c r="I37" s="655"/>
      <c r="J37" s="655"/>
      <c r="K37" s="655"/>
      <c r="L37" s="655"/>
    </row>
    <row r="38" spans="1:12" x14ac:dyDescent="0.2">
      <c r="A38" s="655"/>
      <c r="B38" s="655"/>
      <c r="C38" s="655"/>
      <c r="D38" s="655"/>
      <c r="E38" s="655"/>
      <c r="F38" s="655"/>
      <c r="G38" s="655"/>
      <c r="H38" s="655"/>
      <c r="I38" s="655"/>
      <c r="J38" s="655"/>
      <c r="K38" s="655"/>
      <c r="L38" s="655"/>
    </row>
    <row r="39" spans="1:12" x14ac:dyDescent="0.2">
      <c r="A39" s="655"/>
      <c r="B39" s="655"/>
      <c r="C39" s="655"/>
      <c r="D39" s="655"/>
      <c r="E39" s="655"/>
      <c r="F39" s="655"/>
      <c r="G39" s="655"/>
      <c r="H39" s="655"/>
      <c r="I39" s="655"/>
      <c r="J39" s="655"/>
      <c r="K39" s="655"/>
      <c r="L39" s="655"/>
    </row>
  </sheetData>
  <mergeCells count="10">
    <mergeCell ref="A37:L39"/>
    <mergeCell ref="A34:L36"/>
    <mergeCell ref="A29:F29"/>
    <mergeCell ref="A31:L33"/>
    <mergeCell ref="A1:L1"/>
    <mergeCell ref="A2:L2"/>
    <mergeCell ref="A3:L3"/>
    <mergeCell ref="A4:L4"/>
    <mergeCell ref="A6:L6"/>
    <mergeCell ref="A7:L7"/>
  </mergeCells>
  <printOptions horizontalCentered="1"/>
  <pageMargins left="0.51181102362204722" right="0.51181102362204722" top="0.78740157480314965" bottom="0.78740157480314965" header="0.31496062992125984" footer="0.31496062992125984"/>
  <pageSetup paperSize="9" scale="96" orientation="landscape"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37"/>
  <sheetViews>
    <sheetView view="pageBreakPreview" zoomScale="85" zoomScaleNormal="85" zoomScaleSheetLayoutView="85" workbookViewId="0">
      <selection activeCell="A15" sqref="A15"/>
    </sheetView>
  </sheetViews>
  <sheetFormatPr defaultRowHeight="12.75" x14ac:dyDescent="0.2"/>
  <cols>
    <col min="1" max="1" width="9.28515625" style="2" bestFit="1" customWidth="1"/>
    <col min="2" max="2" width="47.140625" style="2" customWidth="1"/>
    <col min="3" max="3" width="9.140625" style="2"/>
    <col min="4" max="4" width="16.28515625" style="2" customWidth="1"/>
    <col min="5" max="5" width="11.42578125" style="2" bestFit="1" customWidth="1"/>
    <col min="6" max="6" width="9.140625" style="2"/>
    <col min="7" max="7" width="11.5703125" style="2" bestFit="1" customWidth="1"/>
    <col min="8" max="16384" width="9.140625" style="2"/>
  </cols>
  <sheetData>
    <row r="1" spans="1:10" s="37" customFormat="1" x14ac:dyDescent="0.2">
      <c r="A1" s="830"/>
      <c r="B1" s="831"/>
      <c r="C1" s="831"/>
      <c r="D1" s="831"/>
      <c r="E1" s="831"/>
      <c r="F1" s="831"/>
      <c r="G1" s="832"/>
      <c r="H1" s="512"/>
      <c r="I1" s="512"/>
      <c r="J1" s="512"/>
    </row>
    <row r="2" spans="1:10" s="37" customFormat="1" ht="20.100000000000001" customHeight="1" x14ac:dyDescent="0.2">
      <c r="A2" s="833" t="s">
        <v>19</v>
      </c>
      <c r="B2" s="834"/>
      <c r="C2" s="834"/>
      <c r="D2" s="834"/>
      <c r="E2" s="834"/>
      <c r="F2" s="834"/>
      <c r="G2" s="835"/>
      <c r="H2" s="512"/>
      <c r="I2" s="512"/>
      <c r="J2" s="512"/>
    </row>
    <row r="3" spans="1:10" s="37" customFormat="1" ht="20.100000000000001" customHeight="1" x14ac:dyDescent="0.2">
      <c r="A3" s="833" t="s">
        <v>193</v>
      </c>
      <c r="B3" s="834"/>
      <c r="C3" s="834"/>
      <c r="D3" s="834"/>
      <c r="E3" s="834"/>
      <c r="F3" s="834"/>
      <c r="G3" s="835"/>
      <c r="H3" s="512"/>
      <c r="I3" s="512"/>
      <c r="J3" s="512"/>
    </row>
    <row r="4" spans="1:10" s="37" customFormat="1" ht="20.100000000000001" customHeight="1" x14ac:dyDescent="0.2">
      <c r="A4" s="833" t="s">
        <v>18</v>
      </c>
      <c r="B4" s="834"/>
      <c r="C4" s="834"/>
      <c r="D4" s="834"/>
      <c r="E4" s="834"/>
      <c r="F4" s="834"/>
      <c r="G4" s="835"/>
      <c r="H4" s="512"/>
      <c r="I4" s="512"/>
      <c r="J4" s="512"/>
    </row>
    <row r="5" spans="1:10" s="37" customFormat="1" ht="13.5" thickBot="1" x14ac:dyDescent="0.25">
      <c r="A5" s="839"/>
      <c r="B5" s="840"/>
      <c r="C5" s="840"/>
      <c r="D5" s="840"/>
      <c r="E5" s="840"/>
      <c r="F5" s="840"/>
      <c r="G5" s="841"/>
      <c r="H5" s="512"/>
      <c r="I5" s="512"/>
      <c r="J5" s="512"/>
    </row>
    <row r="6" spans="1:10" s="38" customFormat="1" ht="24.95" customHeight="1" thickTop="1" thickBot="1" x14ac:dyDescent="0.25">
      <c r="A6" s="513" t="s">
        <v>632</v>
      </c>
      <c r="B6" s="920" t="s">
        <v>637</v>
      </c>
      <c r="C6" s="921"/>
      <c r="D6" s="921"/>
      <c r="E6" s="922"/>
      <c r="F6" s="842" t="s">
        <v>308</v>
      </c>
      <c r="G6" s="843"/>
      <c r="H6" s="518"/>
      <c r="I6" s="518"/>
      <c r="J6" s="518"/>
    </row>
    <row r="7" spans="1:10" s="38" customFormat="1" ht="29.25" customHeight="1" thickTop="1" x14ac:dyDescent="0.2">
      <c r="A7" s="844" t="str">
        <f>'ORÇAMENTO GERAL'!C7</f>
        <v>EXECUÇÃO DOS SERVIÇOS DE DRENAGEM SUPERFICIAL E DRENAGEM PROFUNDA  NA TRAVESSA BEIRA RIO E RUA MOCAJATUBA - NO DISTRITO INDUSTRIAL  NO MUNICÍPIO DE ANANINDEUA (PA).</v>
      </c>
      <c r="B7" s="845"/>
      <c r="C7" s="845"/>
      <c r="D7" s="845"/>
      <c r="E7" s="845"/>
      <c r="F7" s="845"/>
      <c r="G7" s="846"/>
      <c r="H7" s="518"/>
      <c r="I7" s="518"/>
      <c r="J7" s="518"/>
    </row>
    <row r="8" spans="1:10" s="38" customFormat="1" ht="25.5" x14ac:dyDescent="0.2">
      <c r="A8" s="107" t="s">
        <v>626</v>
      </c>
      <c r="B8" s="102" t="s">
        <v>194</v>
      </c>
      <c r="C8" s="39" t="s">
        <v>22</v>
      </c>
      <c r="D8" s="39" t="s">
        <v>195</v>
      </c>
      <c r="E8" s="39" t="s">
        <v>196</v>
      </c>
      <c r="F8" s="40" t="s">
        <v>197</v>
      </c>
      <c r="G8" s="108"/>
      <c r="H8" s="518"/>
      <c r="I8" s="518"/>
      <c r="J8" s="518"/>
    </row>
    <row r="9" spans="1:10" s="504" customFormat="1" ht="24.95" customHeight="1" thickBot="1" x14ac:dyDescent="0.25">
      <c r="A9" s="41">
        <v>88316</v>
      </c>
      <c r="B9" s="464" t="s">
        <v>198</v>
      </c>
      <c r="C9" s="42" t="s">
        <v>248</v>
      </c>
      <c r="D9" s="250">
        <v>5.7500000000000002E-2</v>
      </c>
      <c r="E9" s="43">
        <v>18.16</v>
      </c>
      <c r="F9" s="44"/>
      <c r="G9" s="45">
        <f>ROUND(D9*E9,2)</f>
        <v>1.04</v>
      </c>
      <c r="H9" s="518"/>
      <c r="I9" s="518"/>
      <c r="J9" s="518"/>
    </row>
    <row r="10" spans="1:10" s="38" customFormat="1" ht="20.100000000000001" customHeight="1" thickBot="1" x14ac:dyDescent="0.25">
      <c r="A10" s="46"/>
      <c r="B10" s="44"/>
      <c r="C10" s="47"/>
      <c r="D10" s="519" t="s">
        <v>199</v>
      </c>
      <c r="E10" s="520"/>
      <c r="F10" s="521"/>
      <c r="G10" s="522">
        <f>SUM(G9:G9)</f>
        <v>1.04</v>
      </c>
      <c r="H10" s="518"/>
      <c r="I10" s="518"/>
      <c r="J10" s="518"/>
    </row>
    <row r="11" spans="1:10" s="38" customFormat="1" ht="20.100000000000001" customHeight="1" x14ac:dyDescent="0.2">
      <c r="A11" s="52"/>
      <c r="B11" s="468" t="s">
        <v>200</v>
      </c>
      <c r="C11" s="53" t="s">
        <v>22</v>
      </c>
      <c r="D11" s="54" t="s">
        <v>201</v>
      </c>
      <c r="E11" s="53" t="s">
        <v>202</v>
      </c>
      <c r="F11" s="55" t="s">
        <v>197</v>
      </c>
      <c r="G11" s="56"/>
      <c r="H11" s="518"/>
      <c r="I11" s="518"/>
      <c r="J11" s="518"/>
    </row>
    <row r="12" spans="1:10" s="504" customFormat="1" ht="24.95" customHeight="1" thickBot="1" x14ac:dyDescent="0.25">
      <c r="A12" s="653" t="s">
        <v>558</v>
      </c>
      <c r="B12" s="58" t="s">
        <v>577</v>
      </c>
      <c r="C12" s="60" t="s">
        <v>585</v>
      </c>
      <c r="D12" s="250">
        <v>1</v>
      </c>
      <c r="E12" s="110">
        <f>'CPU-III'!E13</f>
        <v>41</v>
      </c>
      <c r="F12" s="59"/>
      <c r="G12" s="45">
        <f>ROUND(D12*E12,2)</f>
        <v>41</v>
      </c>
      <c r="H12" s="518"/>
      <c r="I12" s="518"/>
      <c r="J12" s="518"/>
    </row>
    <row r="13" spans="1:10" s="38" customFormat="1" ht="20.100000000000001" customHeight="1" thickBot="1" x14ac:dyDescent="0.25">
      <c r="A13" s="46" t="s">
        <v>203</v>
      </c>
      <c r="B13" s="44"/>
      <c r="C13" s="47"/>
      <c r="D13" s="519" t="s">
        <v>204</v>
      </c>
      <c r="E13" s="523"/>
      <c r="F13" s="524"/>
      <c r="G13" s="522">
        <f>SUM(G12:G12)</f>
        <v>41</v>
      </c>
      <c r="H13" s="518"/>
      <c r="I13" s="518"/>
      <c r="J13" s="518"/>
    </row>
    <row r="14" spans="1:10" s="38" customFormat="1" ht="20.100000000000001" customHeight="1" x14ac:dyDescent="0.2">
      <c r="A14" s="52"/>
      <c r="B14" s="467" t="s">
        <v>205</v>
      </c>
      <c r="C14" s="53" t="s">
        <v>22</v>
      </c>
      <c r="D14" s="54" t="s">
        <v>201</v>
      </c>
      <c r="E14" s="53" t="s">
        <v>202</v>
      </c>
      <c r="F14" s="55" t="s">
        <v>197</v>
      </c>
      <c r="G14" s="56"/>
      <c r="H14" s="518"/>
      <c r="I14" s="518"/>
      <c r="J14" s="518"/>
    </row>
    <row r="15" spans="1:10" s="504" customFormat="1" ht="33.75" customHeight="1" x14ac:dyDescent="0.2">
      <c r="A15" s="57">
        <v>5901</v>
      </c>
      <c r="B15" s="111" t="s">
        <v>309</v>
      </c>
      <c r="C15" s="60" t="s">
        <v>183</v>
      </c>
      <c r="D15" s="249">
        <v>5.2699999999999997E-2</v>
      </c>
      <c r="E15" s="110">
        <v>318.87</v>
      </c>
      <c r="F15" s="59"/>
      <c r="G15" s="45">
        <f>ROUND(D15*E15,2)</f>
        <v>16.8</v>
      </c>
      <c r="H15" s="518"/>
      <c r="I15" s="518"/>
      <c r="J15" s="518"/>
    </row>
    <row r="16" spans="1:10" s="504" customFormat="1" ht="24.95" customHeight="1" x14ac:dyDescent="0.2">
      <c r="A16" s="57">
        <v>5903</v>
      </c>
      <c r="B16" s="111" t="s">
        <v>310</v>
      </c>
      <c r="C16" s="60" t="s">
        <v>185</v>
      </c>
      <c r="D16" s="250">
        <v>1.6799999999999999E-2</v>
      </c>
      <c r="E16" s="110">
        <v>54.81</v>
      </c>
      <c r="F16" s="59"/>
      <c r="G16" s="45">
        <f t="shared" ref="G16:G26" si="0">ROUND(D16*E16,2)</f>
        <v>0.92</v>
      </c>
      <c r="H16" s="518"/>
      <c r="I16" s="518"/>
      <c r="J16" s="518"/>
    </row>
    <row r="17" spans="1:10" s="504" customFormat="1" ht="24.95" customHeight="1" x14ac:dyDescent="0.2">
      <c r="A17" s="57">
        <v>5921</v>
      </c>
      <c r="B17" s="111" t="s">
        <v>426</v>
      </c>
      <c r="C17" s="60" t="s">
        <v>183</v>
      </c>
      <c r="D17" s="250">
        <v>7.1999999999999998E-3</v>
      </c>
      <c r="E17" s="110">
        <v>5.75</v>
      </c>
      <c r="F17" s="59"/>
      <c r="G17" s="45">
        <f t="shared" si="0"/>
        <v>0.04</v>
      </c>
      <c r="H17" s="518"/>
      <c r="I17" s="518"/>
      <c r="J17" s="518"/>
    </row>
    <row r="18" spans="1:10" s="504" customFormat="1" ht="24.95" customHeight="1" x14ac:dyDescent="0.2">
      <c r="A18" s="57">
        <v>5923</v>
      </c>
      <c r="B18" s="111" t="s">
        <v>427</v>
      </c>
      <c r="C18" s="60" t="s">
        <v>185</v>
      </c>
      <c r="D18" s="250">
        <v>5.0299999999999997E-2</v>
      </c>
      <c r="E18" s="110">
        <v>3.57</v>
      </c>
      <c r="F18" s="59"/>
      <c r="G18" s="45">
        <f t="shared" si="0"/>
        <v>0.18</v>
      </c>
      <c r="H18" s="518"/>
      <c r="I18" s="518"/>
      <c r="J18" s="518"/>
    </row>
    <row r="19" spans="1:10" s="504" customFormat="1" ht="24.95" customHeight="1" x14ac:dyDescent="0.2">
      <c r="A19" s="57">
        <v>5932</v>
      </c>
      <c r="B19" s="111" t="s">
        <v>312</v>
      </c>
      <c r="C19" s="60" t="s">
        <v>183</v>
      </c>
      <c r="D19" s="250">
        <v>5.8999999999999999E-3</v>
      </c>
      <c r="E19" s="506">
        <v>247.65</v>
      </c>
      <c r="F19" s="59"/>
      <c r="G19" s="45">
        <f>ROUND(D19*E19,2)</f>
        <v>1.46</v>
      </c>
      <c r="H19" s="518"/>
      <c r="I19" s="518"/>
      <c r="J19" s="518"/>
    </row>
    <row r="20" spans="1:10" s="504" customFormat="1" ht="25.5" customHeight="1" x14ac:dyDescent="0.2">
      <c r="A20" s="57">
        <v>5934</v>
      </c>
      <c r="B20" s="111" t="s">
        <v>314</v>
      </c>
      <c r="C20" s="60" t="s">
        <v>185</v>
      </c>
      <c r="D20" s="250">
        <v>5.16E-2</v>
      </c>
      <c r="E20" s="110">
        <v>79.400000000000006</v>
      </c>
      <c r="F20" s="59"/>
      <c r="G20" s="45">
        <f>ROUND(D20*E20,2)</f>
        <v>4.0999999999999996</v>
      </c>
      <c r="H20" s="518"/>
      <c r="I20" s="518"/>
      <c r="J20" s="518"/>
    </row>
    <row r="21" spans="1:10" s="504" customFormat="1" ht="24.95" customHeight="1" x14ac:dyDescent="0.2">
      <c r="A21" s="57">
        <v>73436</v>
      </c>
      <c r="B21" s="111" t="s">
        <v>627</v>
      </c>
      <c r="C21" s="60" t="s">
        <v>183</v>
      </c>
      <c r="D21" s="250">
        <v>4.07E-2</v>
      </c>
      <c r="E21" s="110">
        <v>203.6</v>
      </c>
      <c r="F21" s="59"/>
      <c r="G21" s="45">
        <f t="shared" si="0"/>
        <v>8.2899999999999991</v>
      </c>
      <c r="H21" s="518"/>
      <c r="I21" s="518"/>
      <c r="J21" s="518"/>
    </row>
    <row r="22" spans="1:10" s="504" customFormat="1" ht="24.95" customHeight="1" x14ac:dyDescent="0.2">
      <c r="A22" s="57">
        <v>89035</v>
      </c>
      <c r="B22" s="111" t="s">
        <v>296</v>
      </c>
      <c r="C22" s="60" t="s">
        <v>183</v>
      </c>
      <c r="D22" s="250">
        <v>7.1999999999999998E-3</v>
      </c>
      <c r="E22" s="110">
        <v>128.13</v>
      </c>
      <c r="F22" s="59"/>
      <c r="G22" s="45">
        <f t="shared" si="0"/>
        <v>0.92</v>
      </c>
      <c r="H22" s="518"/>
      <c r="I22" s="518"/>
      <c r="J22" s="518"/>
    </row>
    <row r="23" spans="1:10" s="504" customFormat="1" ht="24.95" customHeight="1" x14ac:dyDescent="0.2">
      <c r="A23" s="57">
        <v>89036</v>
      </c>
      <c r="B23" s="111" t="s">
        <v>297</v>
      </c>
      <c r="C23" s="60" t="s">
        <v>185</v>
      </c>
      <c r="D23" s="250">
        <v>5.0299999999999997E-2</v>
      </c>
      <c r="E23" s="110">
        <v>36.299999999999997</v>
      </c>
      <c r="F23" s="59"/>
      <c r="G23" s="45">
        <f>ROUND(D23*E23,2)</f>
        <v>1.83</v>
      </c>
      <c r="H23" s="518"/>
      <c r="I23" s="518"/>
      <c r="J23" s="518"/>
    </row>
    <row r="24" spans="1:10" s="504" customFormat="1" ht="24.95" customHeight="1" x14ac:dyDescent="0.2">
      <c r="A24" s="57">
        <v>93244</v>
      </c>
      <c r="B24" s="111" t="s">
        <v>628</v>
      </c>
      <c r="C24" s="60" t="s">
        <v>185</v>
      </c>
      <c r="D24" s="250">
        <v>5.7999999999999996E-3</v>
      </c>
      <c r="E24" s="110">
        <v>57.22</v>
      </c>
      <c r="F24" s="59"/>
      <c r="G24" s="45">
        <f>ROUND(D24*E24,2)</f>
        <v>0.33</v>
      </c>
      <c r="H24" s="518"/>
      <c r="I24" s="518"/>
      <c r="J24" s="518"/>
    </row>
    <row r="25" spans="1:10" s="504" customFormat="1" ht="24.95" customHeight="1" x14ac:dyDescent="0.2">
      <c r="A25" s="57">
        <v>96463</v>
      </c>
      <c r="B25" s="111" t="s">
        <v>315</v>
      </c>
      <c r="C25" s="60" t="s">
        <v>183</v>
      </c>
      <c r="D25" s="250">
        <v>5.7999999999999996E-3</v>
      </c>
      <c r="E25" s="110">
        <v>216.2</v>
      </c>
      <c r="F25" s="59"/>
      <c r="G25" s="45">
        <f t="shared" si="0"/>
        <v>1.25</v>
      </c>
      <c r="H25" s="518"/>
      <c r="I25" s="518"/>
      <c r="J25" s="518"/>
    </row>
    <row r="26" spans="1:10" s="504" customFormat="1" ht="24.95" customHeight="1" thickBot="1" x14ac:dyDescent="0.25">
      <c r="A26" s="57">
        <v>96464</v>
      </c>
      <c r="B26" s="111" t="s">
        <v>316</v>
      </c>
      <c r="C26" s="60" t="s">
        <v>185</v>
      </c>
      <c r="D26" s="250">
        <v>5.1700000000000003E-2</v>
      </c>
      <c r="E26" s="110">
        <v>79.11</v>
      </c>
      <c r="F26" s="59"/>
      <c r="G26" s="45">
        <f t="shared" si="0"/>
        <v>4.09</v>
      </c>
      <c r="H26" s="518"/>
      <c r="I26" s="518"/>
      <c r="J26" s="518"/>
    </row>
    <row r="27" spans="1:10" s="38" customFormat="1" ht="20.100000000000001" customHeight="1" thickBot="1" x14ac:dyDescent="0.25">
      <c r="A27" s="63" t="s">
        <v>203</v>
      </c>
      <c r="B27" s="44"/>
      <c r="C27" s="47"/>
      <c r="D27" s="519" t="s">
        <v>207</v>
      </c>
      <c r="E27" s="523"/>
      <c r="F27" s="524"/>
      <c r="G27" s="522">
        <f>SUM(G15:G26)</f>
        <v>40.21</v>
      </c>
      <c r="H27" s="518"/>
      <c r="I27" s="518"/>
      <c r="J27" s="518"/>
    </row>
    <row r="28" spans="1:10" s="38" customFormat="1" ht="20.100000000000001" customHeight="1" x14ac:dyDescent="0.2">
      <c r="A28" s="862" t="s">
        <v>208</v>
      </c>
      <c r="B28" s="863"/>
      <c r="C28" s="863"/>
      <c r="D28" s="863"/>
      <c r="E28" s="863"/>
      <c r="F28" s="864"/>
      <c r="G28" s="64">
        <f>SUM(G10+G13+G27)</f>
        <v>82.25</v>
      </c>
      <c r="H28" s="518"/>
      <c r="I28" s="518"/>
      <c r="J28" s="518"/>
    </row>
    <row r="29" spans="1:10" s="38" customFormat="1" ht="20.100000000000001" customHeight="1" thickBot="1" x14ac:dyDescent="0.25">
      <c r="A29" s="65"/>
      <c r="B29" s="66"/>
      <c r="C29" s="47"/>
      <c r="D29" s="67" t="s">
        <v>209</v>
      </c>
      <c r="E29" s="68">
        <v>0.27460000000000001</v>
      </c>
      <c r="F29" s="44"/>
      <c r="G29" s="69">
        <f>E29*G28</f>
        <v>22.59</v>
      </c>
      <c r="H29" s="518"/>
      <c r="I29" s="518"/>
      <c r="J29" s="518"/>
    </row>
    <row r="30" spans="1:10" s="38" customFormat="1" ht="20.100000000000001" customHeight="1" thickBot="1" x14ac:dyDescent="0.25">
      <c r="A30" s="525" t="s">
        <v>210</v>
      </c>
      <c r="B30" s="526"/>
      <c r="C30" s="527"/>
      <c r="D30" s="526"/>
      <c r="E30" s="526"/>
      <c r="F30" s="528"/>
      <c r="G30" s="529">
        <f>SUM(G28:G29)</f>
        <v>104.84</v>
      </c>
      <c r="H30" s="518"/>
      <c r="I30" s="518"/>
      <c r="J30" s="518"/>
    </row>
    <row r="31" spans="1:10" x14ac:dyDescent="0.2">
      <c r="A31" s="530"/>
      <c r="B31" s="530"/>
      <c r="C31" s="530"/>
      <c r="D31" s="530"/>
      <c r="E31" s="530"/>
      <c r="F31" s="530"/>
      <c r="G31" s="530"/>
      <c r="H31" s="530"/>
      <c r="I31" s="530"/>
      <c r="J31" s="530"/>
    </row>
    <row r="32" spans="1:10" x14ac:dyDescent="0.2">
      <c r="A32" s="530"/>
      <c r="B32" s="530"/>
      <c r="C32" s="530"/>
      <c r="D32" s="530"/>
      <c r="E32" s="530"/>
      <c r="F32" s="530"/>
      <c r="G32" s="530"/>
      <c r="H32" s="530"/>
      <c r="I32" s="530"/>
      <c r="J32" s="530"/>
    </row>
    <row r="33" spans="1:10" x14ac:dyDescent="0.2">
      <c r="A33" s="530"/>
      <c r="B33" s="530"/>
      <c r="C33" s="530"/>
      <c r="D33" s="530"/>
      <c r="E33" s="530"/>
      <c r="F33" s="530"/>
      <c r="G33" s="530"/>
      <c r="H33" s="530"/>
      <c r="I33" s="530"/>
      <c r="J33" s="530"/>
    </row>
    <row r="34" spans="1:10" x14ac:dyDescent="0.2">
      <c r="A34" s="530"/>
      <c r="B34" s="530"/>
      <c r="C34" s="530"/>
      <c r="D34" s="530"/>
      <c r="E34" s="530"/>
      <c r="F34" s="530"/>
      <c r="G34" s="530"/>
      <c r="H34" s="530"/>
      <c r="I34" s="530"/>
      <c r="J34" s="530"/>
    </row>
    <row r="35" spans="1:10" x14ac:dyDescent="0.2">
      <c r="A35" s="530"/>
      <c r="B35" s="530"/>
      <c r="C35" s="530"/>
      <c r="D35" s="530"/>
      <c r="E35" s="530"/>
      <c r="F35" s="530"/>
      <c r="G35" s="530"/>
      <c r="H35" s="530"/>
      <c r="I35" s="530"/>
      <c r="J35" s="530"/>
    </row>
    <row r="36" spans="1:10" x14ac:dyDescent="0.2">
      <c r="A36" s="530"/>
      <c r="B36" s="530"/>
      <c r="C36" s="530"/>
      <c r="D36" s="530"/>
      <c r="E36" s="530"/>
      <c r="F36" s="530"/>
      <c r="G36" s="530"/>
      <c r="H36" s="530"/>
      <c r="I36" s="530"/>
      <c r="J36" s="530"/>
    </row>
    <row r="37" spans="1:10" x14ac:dyDescent="0.2">
      <c r="A37" s="530"/>
      <c r="B37" s="530"/>
      <c r="C37" s="530"/>
      <c r="D37" s="530"/>
      <c r="E37" s="530"/>
      <c r="F37" s="530"/>
      <c r="G37" s="530"/>
      <c r="H37" s="530"/>
      <c r="I37" s="530"/>
      <c r="J37" s="530"/>
    </row>
  </sheetData>
  <mergeCells count="9">
    <mergeCell ref="A7:G7"/>
    <mergeCell ref="A28:F28"/>
    <mergeCell ref="A1:G1"/>
    <mergeCell ref="A2:G2"/>
    <mergeCell ref="A3:G3"/>
    <mergeCell ref="A4:G4"/>
    <mergeCell ref="A5:G5"/>
    <mergeCell ref="B6:E6"/>
    <mergeCell ref="F6:G6"/>
  </mergeCells>
  <pageMargins left="0.511811024" right="0.511811024" top="0.78740157499999996" bottom="0.78740157499999996" header="0.31496062000000002" footer="0.31496062000000002"/>
  <pageSetup paperSize="9" scale="82" orientation="portrait" verticalDpi="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J60"/>
  <sheetViews>
    <sheetView view="pageBreakPreview" zoomScaleNormal="100" zoomScaleSheetLayoutView="100" workbookViewId="0">
      <selection activeCell="F24" sqref="F24"/>
    </sheetView>
  </sheetViews>
  <sheetFormatPr defaultRowHeight="12.75" x14ac:dyDescent="0.2"/>
  <cols>
    <col min="1" max="1" width="9.140625" style="2"/>
    <col min="2" max="2" width="9.28515625" style="2" bestFit="1" customWidth="1"/>
    <col min="3" max="3" width="51.85546875" style="2" customWidth="1"/>
    <col min="4" max="4" width="9.140625" style="2"/>
    <col min="5" max="5" width="16.28515625" style="2" customWidth="1"/>
    <col min="6" max="6" width="11.42578125" style="2" bestFit="1" customWidth="1"/>
    <col min="7" max="7" width="14.140625" style="2" bestFit="1" customWidth="1"/>
    <col min="8" max="8" width="11.5703125" style="2" bestFit="1" customWidth="1"/>
    <col min="9" max="16384" width="9.140625" style="2"/>
  </cols>
  <sheetData>
    <row r="1" spans="1:10" s="37" customFormat="1" ht="15" customHeight="1" x14ac:dyDescent="0.2">
      <c r="A1" s="244"/>
      <c r="B1" s="929"/>
      <c r="C1" s="929"/>
      <c r="D1" s="929"/>
      <c r="E1" s="929"/>
      <c r="F1" s="929"/>
      <c r="G1" s="929"/>
      <c r="H1" s="930"/>
    </row>
    <row r="2" spans="1:10" s="37" customFormat="1" ht="15" customHeight="1" x14ac:dyDescent="0.2">
      <c r="A2" s="931" t="s">
        <v>19</v>
      </c>
      <c r="B2" s="932"/>
      <c r="C2" s="932"/>
      <c r="D2" s="932"/>
      <c r="E2" s="932"/>
      <c r="F2" s="932"/>
      <c r="G2" s="932"/>
      <c r="H2" s="933"/>
    </row>
    <row r="3" spans="1:10" s="37" customFormat="1" ht="15" customHeight="1" x14ac:dyDescent="0.2">
      <c r="A3" s="934" t="s">
        <v>193</v>
      </c>
      <c r="B3" s="935"/>
      <c r="C3" s="935"/>
      <c r="D3" s="935"/>
      <c r="E3" s="935"/>
      <c r="F3" s="935"/>
      <c r="G3" s="935"/>
      <c r="H3" s="936"/>
    </row>
    <row r="4" spans="1:10" s="37" customFormat="1" ht="15" customHeight="1" x14ac:dyDescent="0.2">
      <c r="A4" s="934" t="s">
        <v>18</v>
      </c>
      <c r="B4" s="935"/>
      <c r="C4" s="935"/>
      <c r="D4" s="935"/>
      <c r="E4" s="935"/>
      <c r="F4" s="935"/>
      <c r="G4" s="935"/>
      <c r="H4" s="936"/>
    </row>
    <row r="5" spans="1:10" s="37" customFormat="1" ht="15" customHeight="1" thickBot="1" x14ac:dyDescent="0.25">
      <c r="A5" s="245"/>
      <c r="B5" s="937"/>
      <c r="C5" s="937"/>
      <c r="D5" s="937"/>
      <c r="E5" s="937"/>
      <c r="F5" s="937"/>
      <c r="G5" s="937"/>
      <c r="H5" s="938"/>
    </row>
    <row r="6" spans="1:10" s="38" customFormat="1" ht="24.95" customHeight="1" thickTop="1" thickBot="1" x14ac:dyDescent="0.25">
      <c r="A6" s="378" t="s">
        <v>633</v>
      </c>
      <c r="B6" s="390" t="s">
        <v>684</v>
      </c>
      <c r="C6" s="939" t="s">
        <v>305</v>
      </c>
      <c r="D6" s="939"/>
      <c r="E6" s="939"/>
      <c r="F6" s="939"/>
      <c r="G6" s="940" t="s">
        <v>304</v>
      </c>
      <c r="H6" s="941"/>
    </row>
    <row r="7" spans="1:10" s="38" customFormat="1" ht="40.5" customHeight="1" thickTop="1" x14ac:dyDescent="0.2">
      <c r="A7" s="923" t="str">
        <f>'ORÇAMENTO GERAL'!C7</f>
        <v>EXECUÇÃO DOS SERVIÇOS DE DRENAGEM SUPERFICIAL E DRENAGEM PROFUNDA  NA TRAVESSA BEIRA RIO E RUA MOCAJATUBA - NO DISTRITO INDUSTRIAL  NO MUNICÍPIO DE ANANINDEUA (PA).</v>
      </c>
      <c r="B7" s="924"/>
      <c r="C7" s="924"/>
      <c r="D7" s="924"/>
      <c r="E7" s="924"/>
      <c r="F7" s="924"/>
      <c r="G7" s="924"/>
      <c r="H7" s="925"/>
      <c r="I7" s="518"/>
    </row>
    <row r="8" spans="1:10" s="38" customFormat="1" ht="20.100000000000001" customHeight="1" x14ac:dyDescent="0.2">
      <c r="A8" s="926" t="s">
        <v>194</v>
      </c>
      <c r="B8" s="927"/>
      <c r="C8" s="927"/>
      <c r="D8" s="927"/>
      <c r="E8" s="927"/>
      <c r="F8" s="927"/>
      <c r="G8" s="927"/>
      <c r="H8" s="928"/>
      <c r="I8" s="518"/>
    </row>
    <row r="9" spans="1:10" s="38" customFormat="1" ht="20.100000000000001" customHeight="1" x14ac:dyDescent="0.2">
      <c r="A9" s="562" t="s">
        <v>36</v>
      </c>
      <c r="B9" s="563" t="s">
        <v>306</v>
      </c>
      <c r="C9" s="564" t="s">
        <v>37</v>
      </c>
      <c r="D9" s="563" t="s">
        <v>38</v>
      </c>
      <c r="E9" s="564" t="s">
        <v>160</v>
      </c>
      <c r="F9" s="565" t="s">
        <v>39</v>
      </c>
      <c r="G9" s="942" t="s">
        <v>40</v>
      </c>
      <c r="H9" s="943"/>
      <c r="I9" s="518"/>
    </row>
    <row r="10" spans="1:10" s="504" customFormat="1" ht="20.100000000000001" customHeight="1" thickBot="1" x14ac:dyDescent="0.25">
      <c r="A10" s="566">
        <v>1</v>
      </c>
      <c r="B10" s="236" t="s">
        <v>306</v>
      </c>
      <c r="C10" s="464" t="s">
        <v>198</v>
      </c>
      <c r="D10" s="42" t="s">
        <v>248</v>
      </c>
      <c r="E10" s="125">
        <v>5.7999999999999996E-3</v>
      </c>
      <c r="F10" s="43">
        <v>17.09</v>
      </c>
      <c r="G10" s="44"/>
      <c r="H10" s="45">
        <f>ROUND(E10*F10,2)</f>
        <v>0.1</v>
      </c>
      <c r="I10" s="518"/>
    </row>
    <row r="11" spans="1:10" s="38" customFormat="1" ht="20.100000000000001" customHeight="1" thickBot="1" x14ac:dyDescent="0.25">
      <c r="A11" s="567"/>
      <c r="B11" s="47"/>
      <c r="C11" s="44"/>
      <c r="D11" s="47"/>
      <c r="E11" s="519" t="s">
        <v>199</v>
      </c>
      <c r="F11" s="520"/>
      <c r="G11" s="521"/>
      <c r="H11" s="522">
        <f>SUM(H10:H10)</f>
        <v>0.1</v>
      </c>
      <c r="I11" s="518"/>
    </row>
    <row r="12" spans="1:10" s="38" customFormat="1" ht="20.100000000000001" customHeight="1" x14ac:dyDescent="0.2">
      <c r="A12" s="944" t="s">
        <v>200</v>
      </c>
      <c r="B12" s="945"/>
      <c r="C12" s="945"/>
      <c r="D12" s="945"/>
      <c r="E12" s="945"/>
      <c r="F12" s="945"/>
      <c r="G12" s="945"/>
      <c r="H12" s="946"/>
    </row>
    <row r="13" spans="1:10" s="38" customFormat="1" ht="20.100000000000001" customHeight="1" x14ac:dyDescent="0.2">
      <c r="A13" s="232" t="s">
        <v>36</v>
      </c>
      <c r="B13" s="233" t="s">
        <v>306</v>
      </c>
      <c r="C13" s="234" t="s">
        <v>37</v>
      </c>
      <c r="D13" s="233" t="s">
        <v>38</v>
      </c>
      <c r="E13" s="234" t="s">
        <v>160</v>
      </c>
      <c r="F13" s="235" t="s">
        <v>39</v>
      </c>
      <c r="G13" s="947" t="s">
        <v>40</v>
      </c>
      <c r="H13" s="948"/>
    </row>
    <row r="14" spans="1:10" s="518" customFormat="1" ht="20.100000000000001" customHeight="1" thickBot="1" x14ac:dyDescent="0.25">
      <c r="A14" s="566">
        <v>1</v>
      </c>
      <c r="B14" s="237" t="s">
        <v>329</v>
      </c>
      <c r="C14" s="126" t="s">
        <v>330</v>
      </c>
      <c r="D14" s="60" t="s">
        <v>184</v>
      </c>
      <c r="E14" s="109">
        <v>1.2</v>
      </c>
      <c r="F14" s="110">
        <f>G34</f>
        <v>13.25</v>
      </c>
      <c r="G14" s="59"/>
      <c r="H14" s="45">
        <f>ROUND(E14*F14,2)</f>
        <v>15.9</v>
      </c>
    </row>
    <row r="15" spans="1:10" s="38" customFormat="1" ht="20.100000000000001" customHeight="1" thickBot="1" x14ac:dyDescent="0.25">
      <c r="A15" s="247"/>
      <c r="B15" s="47" t="s">
        <v>203</v>
      </c>
      <c r="C15" s="44"/>
      <c r="D15" s="47"/>
      <c r="E15" s="48" t="s">
        <v>204</v>
      </c>
      <c r="F15" s="61"/>
      <c r="G15" s="62"/>
      <c r="H15" s="51">
        <f>SUM(H14:H14)</f>
        <v>15.9</v>
      </c>
    </row>
    <row r="16" spans="1:10" s="38" customFormat="1" ht="20.100000000000001" customHeight="1" x14ac:dyDescent="0.2">
      <c r="A16" s="949" t="s">
        <v>205</v>
      </c>
      <c r="B16" s="950"/>
      <c r="C16" s="950"/>
      <c r="D16" s="950"/>
      <c r="E16" s="950"/>
      <c r="F16" s="950"/>
      <c r="G16" s="950"/>
      <c r="H16" s="951"/>
      <c r="I16" s="518"/>
      <c r="J16" s="518"/>
    </row>
    <row r="17" spans="1:10" s="38" customFormat="1" ht="20.100000000000001" customHeight="1" x14ac:dyDescent="0.2">
      <c r="A17" s="562" t="s">
        <v>36</v>
      </c>
      <c r="B17" s="563" t="s">
        <v>306</v>
      </c>
      <c r="C17" s="564" t="s">
        <v>37</v>
      </c>
      <c r="D17" s="563" t="s">
        <v>38</v>
      </c>
      <c r="E17" s="564" t="s">
        <v>160</v>
      </c>
      <c r="F17" s="565" t="s">
        <v>39</v>
      </c>
      <c r="G17" s="952" t="s">
        <v>40</v>
      </c>
      <c r="H17" s="953"/>
      <c r="I17" s="518"/>
      <c r="J17" s="518"/>
    </row>
    <row r="18" spans="1:10" s="504" customFormat="1" ht="39.75" customHeight="1" x14ac:dyDescent="0.2">
      <c r="A18" s="566">
        <v>1</v>
      </c>
      <c r="B18" s="237">
        <v>5839</v>
      </c>
      <c r="C18" s="111" t="s">
        <v>294</v>
      </c>
      <c r="D18" s="60" t="s">
        <v>183</v>
      </c>
      <c r="E18" s="127" t="s">
        <v>331</v>
      </c>
      <c r="F18" s="110">
        <v>11.02</v>
      </c>
      <c r="G18" s="59"/>
      <c r="H18" s="45">
        <f t="shared" ref="H18:H23" si="0">ROUND(E18*F18,2)</f>
        <v>0.02</v>
      </c>
      <c r="I18" s="518"/>
      <c r="J18" s="518"/>
    </row>
    <row r="19" spans="1:10" s="504" customFormat="1" ht="38.25" x14ac:dyDescent="0.2">
      <c r="A19" s="566">
        <v>2</v>
      </c>
      <c r="B19" s="237">
        <v>5841</v>
      </c>
      <c r="C19" s="111" t="s">
        <v>295</v>
      </c>
      <c r="D19" s="60" t="s">
        <v>185</v>
      </c>
      <c r="E19" s="127" t="s">
        <v>332</v>
      </c>
      <c r="F19" s="110">
        <v>5.24</v>
      </c>
      <c r="G19" s="59"/>
      <c r="H19" s="45">
        <f t="shared" si="0"/>
        <v>0.02</v>
      </c>
      <c r="I19" s="518"/>
      <c r="J19" s="518"/>
    </row>
    <row r="20" spans="1:10" s="504" customFormat="1" ht="53.25" customHeight="1" x14ac:dyDescent="0.2">
      <c r="A20" s="566">
        <v>3</v>
      </c>
      <c r="B20" s="237">
        <v>83362</v>
      </c>
      <c r="C20" s="111" t="s">
        <v>333</v>
      </c>
      <c r="D20" s="60" t="s">
        <v>183</v>
      </c>
      <c r="E20" s="127" t="s">
        <v>334</v>
      </c>
      <c r="F20" s="110">
        <v>266.7</v>
      </c>
      <c r="G20" s="59"/>
      <c r="H20" s="45">
        <f t="shared" si="0"/>
        <v>0.27</v>
      </c>
      <c r="I20" s="518"/>
      <c r="J20" s="518"/>
    </row>
    <row r="21" spans="1:10" s="504" customFormat="1" ht="30.75" customHeight="1" x14ac:dyDescent="0.2">
      <c r="A21" s="566">
        <v>4</v>
      </c>
      <c r="B21" s="237">
        <v>89035</v>
      </c>
      <c r="C21" s="111" t="s">
        <v>296</v>
      </c>
      <c r="D21" s="60" t="s">
        <v>183</v>
      </c>
      <c r="E21" s="127" t="s">
        <v>335</v>
      </c>
      <c r="F21" s="110">
        <v>128.13</v>
      </c>
      <c r="G21" s="59"/>
      <c r="H21" s="45">
        <f t="shared" si="0"/>
        <v>0.22</v>
      </c>
      <c r="I21" s="518"/>
      <c r="J21" s="518"/>
    </row>
    <row r="22" spans="1:10" s="504" customFormat="1" ht="25.5" customHeight="1" x14ac:dyDescent="0.2">
      <c r="A22" s="566">
        <v>5</v>
      </c>
      <c r="B22" s="237">
        <v>89036</v>
      </c>
      <c r="C22" s="111" t="s">
        <v>297</v>
      </c>
      <c r="D22" s="60" t="s">
        <v>185</v>
      </c>
      <c r="E22" s="127" t="s">
        <v>336</v>
      </c>
      <c r="F22" s="110">
        <v>36.299999999999997</v>
      </c>
      <c r="G22" s="59"/>
      <c r="H22" s="45">
        <f t="shared" si="0"/>
        <v>0.15</v>
      </c>
      <c r="I22" s="518"/>
      <c r="J22" s="518"/>
    </row>
    <row r="23" spans="1:10" s="504" customFormat="1" ht="51.75" customHeight="1" thickBot="1" x14ac:dyDescent="0.25">
      <c r="A23" s="566">
        <v>6</v>
      </c>
      <c r="B23" s="237">
        <v>91486</v>
      </c>
      <c r="C23" s="111" t="s">
        <v>337</v>
      </c>
      <c r="D23" s="60" t="s">
        <v>185</v>
      </c>
      <c r="E23" s="127" t="s">
        <v>338</v>
      </c>
      <c r="F23" s="110">
        <v>51.88</v>
      </c>
      <c r="G23" s="59"/>
      <c r="H23" s="45">
        <f t="shared" si="0"/>
        <v>0.25</v>
      </c>
      <c r="I23" s="518"/>
      <c r="J23" s="518"/>
    </row>
    <row r="24" spans="1:10" s="38" customFormat="1" ht="20.100000000000001" customHeight="1" thickBot="1" x14ac:dyDescent="0.25">
      <c r="A24" s="567"/>
      <c r="B24" s="44" t="s">
        <v>203</v>
      </c>
      <c r="C24" s="44"/>
      <c r="D24" s="47"/>
      <c r="E24" s="519" t="s">
        <v>207</v>
      </c>
      <c r="F24" s="523"/>
      <c r="G24" s="524"/>
      <c r="H24" s="522">
        <f>SUM(H18:H23)</f>
        <v>0.93</v>
      </c>
      <c r="I24" s="518"/>
      <c r="J24" s="518"/>
    </row>
    <row r="25" spans="1:10" s="38" customFormat="1" ht="20.100000000000001" customHeight="1" x14ac:dyDescent="0.2">
      <c r="A25" s="567"/>
      <c r="B25" s="863" t="s">
        <v>208</v>
      </c>
      <c r="C25" s="863"/>
      <c r="D25" s="863"/>
      <c r="E25" s="863"/>
      <c r="F25" s="863"/>
      <c r="G25" s="864"/>
      <c r="H25" s="64">
        <f>SUM(H11+H15+H24)</f>
        <v>16.93</v>
      </c>
      <c r="I25" s="518"/>
      <c r="J25" s="518"/>
    </row>
    <row r="26" spans="1:10" s="38" customFormat="1" ht="20.100000000000001" customHeight="1" thickBot="1" x14ac:dyDescent="0.25">
      <c r="A26" s="568"/>
      <c r="B26" s="954" t="s">
        <v>209</v>
      </c>
      <c r="C26" s="954"/>
      <c r="D26" s="954"/>
      <c r="E26" s="954"/>
      <c r="F26" s="954"/>
      <c r="G26" s="238">
        <v>0.27460000000000001</v>
      </c>
      <c r="H26" s="239">
        <f>H25*G26</f>
        <v>4.6500000000000004</v>
      </c>
      <c r="I26" s="518"/>
      <c r="J26" s="518"/>
    </row>
    <row r="27" spans="1:10" s="38" customFormat="1" ht="20.100000000000001" customHeight="1" thickBot="1" x14ac:dyDescent="0.25">
      <c r="A27" s="569"/>
      <c r="B27" s="570" t="s">
        <v>210</v>
      </c>
      <c r="C27" s="570"/>
      <c r="D27" s="571"/>
      <c r="E27" s="570"/>
      <c r="F27" s="570"/>
      <c r="G27" s="572"/>
      <c r="H27" s="573">
        <f>SUM(H25:H26)</f>
        <v>21.58</v>
      </c>
      <c r="I27" s="518"/>
      <c r="J27" s="518"/>
    </row>
    <row r="28" spans="1:10" s="38" customFormat="1" ht="20.100000000000001" customHeight="1" x14ac:dyDescent="0.2">
      <c r="A28" s="405"/>
      <c r="B28" s="401"/>
      <c r="C28" s="401"/>
      <c r="D28" s="402"/>
      <c r="E28" s="401"/>
      <c r="F28" s="401"/>
      <c r="G28" s="403"/>
      <c r="H28" s="404"/>
    </row>
    <row r="29" spans="1:10" x14ac:dyDescent="0.2">
      <c r="A29" s="960" t="s">
        <v>511</v>
      </c>
      <c r="B29" s="960"/>
      <c r="C29" s="960"/>
      <c r="D29" s="960"/>
      <c r="E29" s="960"/>
      <c r="F29" s="960"/>
      <c r="G29" s="960"/>
    </row>
    <row r="30" spans="1:10" ht="15" x14ac:dyDescent="0.25">
      <c r="A30" s="961" t="s">
        <v>6</v>
      </c>
      <c r="B30" s="962"/>
      <c r="C30" s="395" t="s">
        <v>189</v>
      </c>
      <c r="D30" s="396" t="s">
        <v>155</v>
      </c>
      <c r="E30" s="397" t="s">
        <v>512</v>
      </c>
      <c r="F30" s="397" t="s">
        <v>513</v>
      </c>
      <c r="G30" s="398" t="s">
        <v>341</v>
      </c>
    </row>
    <row r="31" spans="1:10" s="530" customFormat="1" ht="15" x14ac:dyDescent="0.25">
      <c r="A31" s="963" t="s">
        <v>357</v>
      </c>
      <c r="B31" s="963"/>
      <c r="C31" s="534" t="s">
        <v>641</v>
      </c>
      <c r="D31" s="531">
        <v>1</v>
      </c>
      <c r="E31" s="531" t="s">
        <v>491</v>
      </c>
      <c r="F31" s="590">
        <v>8500</v>
      </c>
      <c r="G31" s="590">
        <f>F31/1000</f>
        <v>8.5</v>
      </c>
    </row>
    <row r="32" spans="1:10" s="530" customFormat="1" ht="15" x14ac:dyDescent="0.25">
      <c r="A32" s="963" t="s">
        <v>357</v>
      </c>
      <c r="B32" s="963"/>
      <c r="C32" s="534" t="s">
        <v>666</v>
      </c>
      <c r="D32" s="531">
        <v>1</v>
      </c>
      <c r="E32" s="531" t="s">
        <v>491</v>
      </c>
      <c r="F32" s="590">
        <v>8500</v>
      </c>
      <c r="G32" s="590">
        <f>F32/1000</f>
        <v>8.5</v>
      </c>
    </row>
    <row r="33" spans="1:8" ht="15" x14ac:dyDescent="0.25">
      <c r="A33" s="964" t="s">
        <v>357</v>
      </c>
      <c r="B33" s="964"/>
      <c r="C33" s="356" t="s">
        <v>665</v>
      </c>
      <c r="D33" s="355">
        <v>1</v>
      </c>
      <c r="E33" s="355" t="s">
        <v>491</v>
      </c>
      <c r="F33" s="399">
        <v>9500</v>
      </c>
      <c r="G33" s="399">
        <f>F33/1000</f>
        <v>9.5</v>
      </c>
    </row>
    <row r="34" spans="1:8" ht="15" x14ac:dyDescent="0.2">
      <c r="A34" s="965" t="s">
        <v>514</v>
      </c>
      <c r="B34" s="965"/>
      <c r="C34" s="965"/>
      <c r="D34" s="965"/>
      <c r="E34" s="965"/>
      <c r="F34" s="965"/>
      <c r="G34" s="400">
        <f>(G31+G32+G33)/2</f>
        <v>13.25</v>
      </c>
    </row>
    <row r="37" spans="1:8" ht="15" x14ac:dyDescent="0.25">
      <c r="A37" s="955" t="s">
        <v>329</v>
      </c>
      <c r="B37" s="955"/>
      <c r="C37" s="955"/>
      <c r="D37" s="955"/>
      <c r="E37" s="955"/>
      <c r="F37" s="955"/>
      <c r="G37" s="955"/>
    </row>
    <row r="38" spans="1:8" ht="15" x14ac:dyDescent="0.25">
      <c r="A38" s="956" t="s">
        <v>339</v>
      </c>
      <c r="B38" s="957"/>
      <c r="C38" s="958"/>
      <c r="D38" s="959" t="s">
        <v>340</v>
      </c>
      <c r="E38" s="959"/>
      <c r="F38" s="260"/>
      <c r="G38" s="261" t="s">
        <v>341</v>
      </c>
      <c r="H38" s="2" t="s">
        <v>640</v>
      </c>
    </row>
    <row r="39" spans="1:8" x14ac:dyDescent="0.2">
      <c r="A39" s="966" t="s">
        <v>342</v>
      </c>
      <c r="B39" s="966"/>
      <c r="C39" s="966"/>
      <c r="D39" s="966"/>
      <c r="E39" s="966"/>
      <c r="F39" s="262"/>
      <c r="G39" s="263"/>
    </row>
    <row r="40" spans="1:8" x14ac:dyDescent="0.2">
      <c r="A40" s="967" t="s">
        <v>343</v>
      </c>
      <c r="B40" s="967"/>
      <c r="C40" s="967"/>
      <c r="D40" s="967"/>
      <c r="E40" s="967"/>
      <c r="F40" s="264"/>
      <c r="G40" s="264"/>
    </row>
    <row r="41" spans="1:8" x14ac:dyDescent="0.2">
      <c r="A41" s="967" t="s">
        <v>344</v>
      </c>
      <c r="B41" s="967"/>
      <c r="C41" s="967"/>
      <c r="D41" s="967"/>
      <c r="E41" s="967"/>
      <c r="F41" s="264"/>
      <c r="G41" s="264"/>
    </row>
    <row r="42" spans="1:8" ht="15" x14ac:dyDescent="0.25">
      <c r="A42" s="968" t="s">
        <v>345</v>
      </c>
      <c r="B42" s="968"/>
      <c r="C42" s="968"/>
      <c r="D42" s="968"/>
      <c r="E42" s="968"/>
      <c r="F42" s="265"/>
      <c r="G42" s="265"/>
    </row>
    <row r="43" spans="1:8" ht="15" x14ac:dyDescent="0.2">
      <c r="A43" s="967" t="s">
        <v>346</v>
      </c>
      <c r="B43" s="967"/>
      <c r="C43" s="967"/>
      <c r="D43" s="967"/>
      <c r="E43" s="967"/>
      <c r="F43" s="266"/>
      <c r="G43" s="267"/>
    </row>
    <row r="44" spans="1:8" ht="15" x14ac:dyDescent="0.25">
      <c r="A44" s="967" t="s">
        <v>347</v>
      </c>
      <c r="B44" s="967"/>
      <c r="C44" s="967"/>
      <c r="D44" s="967"/>
      <c r="E44" s="967"/>
      <c r="F44" s="268"/>
      <c r="G44" s="267"/>
    </row>
    <row r="45" spans="1:8" ht="15" x14ac:dyDescent="0.25">
      <c r="A45" s="967" t="s">
        <v>348</v>
      </c>
      <c r="B45" s="967"/>
      <c r="C45" s="967"/>
      <c r="D45" s="967"/>
      <c r="E45" s="967"/>
      <c r="F45" s="268"/>
      <c r="G45" s="267"/>
    </row>
    <row r="46" spans="1:8" ht="15" x14ac:dyDescent="0.25">
      <c r="A46" s="967" t="s">
        <v>349</v>
      </c>
      <c r="B46" s="967"/>
      <c r="C46" s="967"/>
      <c r="D46" s="967"/>
      <c r="E46" s="967"/>
      <c r="F46" s="268"/>
      <c r="G46" s="267"/>
    </row>
    <row r="47" spans="1:8" ht="15" x14ac:dyDescent="0.25">
      <c r="A47" s="967" t="s">
        <v>350</v>
      </c>
      <c r="B47" s="967"/>
      <c r="C47" s="967"/>
      <c r="D47" s="967"/>
      <c r="E47" s="967"/>
      <c r="F47" s="268"/>
      <c r="G47" s="267"/>
    </row>
    <row r="48" spans="1:8" ht="15" x14ac:dyDescent="0.25">
      <c r="A48" s="969" t="s">
        <v>351</v>
      </c>
      <c r="B48" s="969"/>
      <c r="C48" s="969"/>
      <c r="D48" s="969"/>
      <c r="E48" s="969"/>
      <c r="F48" s="269"/>
      <c r="G48" s="270"/>
    </row>
    <row r="49" spans="1:7" ht="15" x14ac:dyDescent="0.25">
      <c r="A49" s="967" t="s">
        <v>352</v>
      </c>
      <c r="B49" s="967"/>
      <c r="C49" s="967"/>
      <c r="D49" s="967"/>
      <c r="E49" s="967"/>
      <c r="F49" s="268"/>
      <c r="G49" s="267"/>
    </row>
    <row r="50" spans="1:7" ht="15" x14ac:dyDescent="0.25">
      <c r="A50" s="967" t="s">
        <v>353</v>
      </c>
      <c r="B50" s="967"/>
      <c r="C50" s="967"/>
      <c r="D50" s="967"/>
      <c r="E50" s="967"/>
      <c r="F50" s="268"/>
      <c r="G50" s="267"/>
    </row>
    <row r="51" spans="1:7" ht="15" x14ac:dyDescent="0.25">
      <c r="A51" s="967" t="s">
        <v>354</v>
      </c>
      <c r="B51" s="967"/>
      <c r="C51" s="967"/>
      <c r="D51" s="967" t="s">
        <v>355</v>
      </c>
      <c r="E51" s="967"/>
      <c r="F51" s="268">
        <v>3680</v>
      </c>
      <c r="G51" s="267">
        <f>F51/1000</f>
        <v>3.68</v>
      </c>
    </row>
    <row r="52" spans="1:7" ht="15" x14ac:dyDescent="0.25">
      <c r="A52" s="967" t="s">
        <v>356</v>
      </c>
      <c r="B52" s="967"/>
      <c r="C52" s="967"/>
      <c r="D52" s="967"/>
      <c r="E52" s="967"/>
      <c r="F52" s="268"/>
      <c r="G52" s="267"/>
    </row>
    <row r="53" spans="1:7" ht="15" x14ac:dyDescent="0.25">
      <c r="A53" s="967" t="s">
        <v>357</v>
      </c>
      <c r="B53" s="967"/>
      <c r="C53" s="967"/>
      <c r="D53" s="967"/>
      <c r="E53" s="967"/>
      <c r="F53" s="268"/>
      <c r="G53" s="267"/>
    </row>
    <row r="54" spans="1:7" ht="15" x14ac:dyDescent="0.25">
      <c r="A54" s="967" t="s">
        <v>358</v>
      </c>
      <c r="B54" s="967"/>
      <c r="C54" s="967"/>
      <c r="D54" s="967"/>
      <c r="E54" s="967"/>
      <c r="F54" s="268"/>
      <c r="G54" s="267"/>
    </row>
    <row r="55" spans="1:7" ht="15" x14ac:dyDescent="0.25">
      <c r="A55" s="967" t="s">
        <v>359</v>
      </c>
      <c r="B55" s="967"/>
      <c r="C55" s="967"/>
      <c r="D55" s="967"/>
      <c r="E55" s="967"/>
      <c r="F55" s="268"/>
      <c r="G55" s="267"/>
    </row>
    <row r="56" spans="1:7" ht="15" x14ac:dyDescent="0.25">
      <c r="A56" s="967" t="s">
        <v>360</v>
      </c>
      <c r="B56" s="967"/>
      <c r="C56" s="967"/>
      <c r="D56" s="967"/>
      <c r="E56" s="967"/>
      <c r="F56" s="271"/>
      <c r="G56" s="272"/>
    </row>
    <row r="57" spans="1:7" ht="15" x14ac:dyDescent="0.25">
      <c r="A57" s="969" t="s">
        <v>361</v>
      </c>
      <c r="B57" s="969"/>
      <c r="C57" s="969"/>
      <c r="D57" s="967"/>
      <c r="E57" s="967"/>
      <c r="F57" s="268"/>
      <c r="G57" s="273"/>
    </row>
    <row r="58" spans="1:7" ht="15" x14ac:dyDescent="0.25">
      <c r="A58" s="967" t="s">
        <v>362</v>
      </c>
      <c r="B58" s="967"/>
      <c r="C58" s="967"/>
      <c r="D58" s="967"/>
      <c r="E58" s="967"/>
      <c r="F58" s="268"/>
      <c r="G58" s="267"/>
    </row>
    <row r="59" spans="1:7" ht="15" x14ac:dyDescent="0.25">
      <c r="A59" s="967" t="s">
        <v>363</v>
      </c>
      <c r="B59" s="967"/>
      <c r="C59" s="967"/>
      <c r="D59" s="967"/>
      <c r="E59" s="967"/>
      <c r="F59" s="268"/>
      <c r="G59" s="267"/>
    </row>
    <row r="60" spans="1:7" ht="15" x14ac:dyDescent="0.25">
      <c r="A60" s="967" t="s">
        <v>364</v>
      </c>
      <c r="B60" s="967"/>
      <c r="C60" s="967"/>
      <c r="D60" s="967"/>
      <c r="E60" s="967"/>
      <c r="F60" s="268"/>
      <c r="G60" s="267"/>
    </row>
  </sheetData>
  <mergeCells count="69">
    <mergeCell ref="A60:C60"/>
    <mergeCell ref="D60:E60"/>
    <mergeCell ref="A57:C57"/>
    <mergeCell ref="D57:E57"/>
    <mergeCell ref="A58:C58"/>
    <mergeCell ref="D58:E58"/>
    <mergeCell ref="A59:C59"/>
    <mergeCell ref="D59:E59"/>
    <mergeCell ref="A54:C54"/>
    <mergeCell ref="D54:E54"/>
    <mergeCell ref="A55:C55"/>
    <mergeCell ref="D55:E55"/>
    <mergeCell ref="A56:C56"/>
    <mergeCell ref="D56:E56"/>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B26:F26"/>
    <mergeCell ref="A37:G37"/>
    <mergeCell ref="A38:C38"/>
    <mergeCell ref="D38:E38"/>
    <mergeCell ref="A29:G29"/>
    <mergeCell ref="A30:B30"/>
    <mergeCell ref="A31:B31"/>
    <mergeCell ref="A32:B32"/>
    <mergeCell ref="A33:B33"/>
    <mergeCell ref="A34:F34"/>
    <mergeCell ref="B25:G25"/>
    <mergeCell ref="A7:H7"/>
    <mergeCell ref="A8:H8"/>
    <mergeCell ref="B1:H1"/>
    <mergeCell ref="A2:H2"/>
    <mergeCell ref="A3:H3"/>
    <mergeCell ref="A4:H4"/>
    <mergeCell ref="B5:H5"/>
    <mergeCell ref="C6:F6"/>
    <mergeCell ref="G6:H6"/>
    <mergeCell ref="G9:H9"/>
    <mergeCell ref="A12:H12"/>
    <mergeCell ref="G13:H13"/>
    <mergeCell ref="A16:H16"/>
    <mergeCell ref="G17:H17"/>
  </mergeCells>
  <printOptions horizontalCentered="1"/>
  <pageMargins left="0.51181102362204722" right="0.51181102362204722" top="0.78740157480314965" bottom="0.78740157480314965" header="0.31496062992125984" footer="0.31496062992125984"/>
  <pageSetup paperSize="9" scale="70"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J54"/>
  <sheetViews>
    <sheetView view="pageBreakPreview" topLeftCell="A28" zoomScale="115" zoomScaleNormal="115" zoomScaleSheetLayoutView="115" workbookViewId="0">
      <selection activeCell="B37" sqref="B37"/>
    </sheetView>
  </sheetViews>
  <sheetFormatPr defaultRowHeight="12.75" x14ac:dyDescent="0.2"/>
  <cols>
    <col min="1" max="1" width="7.7109375" style="31" customWidth="1"/>
    <col min="2" max="2" width="10.7109375" style="31" customWidth="1"/>
    <col min="3" max="3" width="36.42578125" style="31" bestFit="1" customWidth="1"/>
    <col min="4" max="7" width="11.7109375" style="31" customWidth="1"/>
    <col min="8" max="8" width="11.7109375" style="30" customWidth="1"/>
    <col min="9" max="9" width="9.140625" style="30"/>
    <col min="10" max="16384" width="9.140625" style="31"/>
  </cols>
  <sheetData>
    <row r="1" spans="1:10" x14ac:dyDescent="0.2">
      <c r="A1" s="535"/>
      <c r="B1" s="536"/>
      <c r="C1" s="536"/>
      <c r="D1" s="536"/>
      <c r="E1" s="536"/>
      <c r="F1" s="536"/>
      <c r="G1" s="537"/>
      <c r="H1" s="574"/>
    </row>
    <row r="2" spans="1:10" x14ac:dyDescent="0.2">
      <c r="A2" s="907" t="s">
        <v>19</v>
      </c>
      <c r="B2" s="908"/>
      <c r="C2" s="908"/>
      <c r="D2" s="908"/>
      <c r="E2" s="908"/>
      <c r="F2" s="908"/>
      <c r="G2" s="909"/>
      <c r="H2" s="575"/>
    </row>
    <row r="3" spans="1:10" x14ac:dyDescent="0.2">
      <c r="A3" s="910" t="s">
        <v>193</v>
      </c>
      <c r="B3" s="911"/>
      <c r="C3" s="911"/>
      <c r="D3" s="911"/>
      <c r="E3" s="911"/>
      <c r="F3" s="911"/>
      <c r="G3" s="912"/>
      <c r="H3" s="575"/>
    </row>
    <row r="4" spans="1:10" x14ac:dyDescent="0.2">
      <c r="A4" s="913" t="s">
        <v>18</v>
      </c>
      <c r="B4" s="914"/>
      <c r="C4" s="914"/>
      <c r="D4" s="914"/>
      <c r="E4" s="914"/>
      <c r="F4" s="914"/>
      <c r="G4" s="915"/>
      <c r="H4" s="575"/>
    </row>
    <row r="5" spans="1:10" ht="13.5" thickBot="1" x14ac:dyDescent="0.25">
      <c r="A5" s="916"/>
      <c r="B5" s="917"/>
      <c r="C5" s="917"/>
      <c r="D5" s="917"/>
      <c r="E5" s="917"/>
      <c r="F5" s="917"/>
      <c r="G5" s="918"/>
      <c r="H5" s="575"/>
    </row>
    <row r="6" spans="1:10" ht="27" thickTop="1" thickBot="1" x14ac:dyDescent="0.25">
      <c r="A6" s="539" t="s">
        <v>635</v>
      </c>
      <c r="B6" s="540" t="s">
        <v>690</v>
      </c>
      <c r="C6" s="919" t="s">
        <v>34</v>
      </c>
      <c r="D6" s="919"/>
      <c r="E6" s="919"/>
      <c r="F6" s="919"/>
      <c r="G6" s="541" t="s">
        <v>159</v>
      </c>
      <c r="H6" s="576"/>
    </row>
    <row r="7" spans="1:10" ht="41.25" customHeight="1" thickTop="1" x14ac:dyDescent="0.2">
      <c r="A7" s="970" t="str">
        <f>'ORÇAMENTO GERAL'!C7</f>
        <v>EXECUÇÃO DOS SERVIÇOS DE DRENAGEM SUPERFICIAL E DRENAGEM PROFUNDA  NA TRAVESSA BEIRA RIO E RUA MOCAJATUBA - NO DISTRITO INDUSTRIAL  NO MUNICÍPIO DE ANANINDEUA (PA).</v>
      </c>
      <c r="B7" s="971"/>
      <c r="C7" s="971"/>
      <c r="D7" s="971"/>
      <c r="E7" s="971"/>
      <c r="F7" s="971"/>
      <c r="G7" s="972"/>
      <c r="H7" s="576"/>
    </row>
    <row r="8" spans="1:10" s="33" customFormat="1" ht="20.100000000000001" customHeight="1" x14ac:dyDescent="0.2">
      <c r="A8" s="889" t="s">
        <v>35</v>
      </c>
      <c r="B8" s="890"/>
      <c r="C8" s="890"/>
      <c r="D8" s="890"/>
      <c r="E8" s="890"/>
      <c r="F8" s="890"/>
      <c r="G8" s="891"/>
      <c r="H8" s="577"/>
      <c r="I8" s="30">
        <v>1.28</v>
      </c>
      <c r="J8" s="32">
        <f>G44</f>
        <v>746.84</v>
      </c>
    </row>
    <row r="9" spans="1:10" s="33" customFormat="1" ht="20.100000000000001" customHeight="1" x14ac:dyDescent="0.2">
      <c r="A9" s="18" t="s">
        <v>36</v>
      </c>
      <c r="B9" s="23" t="s">
        <v>306</v>
      </c>
      <c r="C9" s="8" t="s">
        <v>37</v>
      </c>
      <c r="D9" s="23" t="s">
        <v>38</v>
      </c>
      <c r="E9" s="8" t="s">
        <v>160</v>
      </c>
      <c r="F9" s="9" t="s">
        <v>39</v>
      </c>
      <c r="G9" s="19" t="s">
        <v>40</v>
      </c>
      <c r="H9" s="21"/>
      <c r="I9" s="30"/>
    </row>
    <row r="10" spans="1:10" s="508" customFormat="1" ht="20.100000000000001" customHeight="1" x14ac:dyDescent="0.2">
      <c r="A10" s="16">
        <v>1</v>
      </c>
      <c r="B10" s="4" t="s">
        <v>187</v>
      </c>
      <c r="C10" s="20" t="s">
        <v>170</v>
      </c>
      <c r="D10" s="23" t="s">
        <v>43</v>
      </c>
      <c r="E10" s="5">
        <v>1.34E-2</v>
      </c>
      <c r="F10" s="6">
        <v>20.14</v>
      </c>
      <c r="G10" s="17">
        <f>ROUND(E10*F10,2)</f>
        <v>0.27</v>
      </c>
      <c r="H10" s="22">
        <v>1.34E-2</v>
      </c>
      <c r="I10" s="507">
        <f>$I$8</f>
        <v>1.28</v>
      </c>
    </row>
    <row r="11" spans="1:10" s="508" customFormat="1" ht="20.100000000000001" customHeight="1" x14ac:dyDescent="0.2">
      <c r="A11" s="16">
        <v>2</v>
      </c>
      <c r="B11" s="4" t="s">
        <v>186</v>
      </c>
      <c r="C11" s="20" t="s">
        <v>171</v>
      </c>
      <c r="D11" s="23" t="s">
        <v>43</v>
      </c>
      <c r="E11" s="5">
        <v>3.5000000000000003E-2</v>
      </c>
      <c r="F11" s="6">
        <v>20.81</v>
      </c>
      <c r="G11" s="17">
        <f>ROUND(E11*F11,2)</f>
        <v>0.73</v>
      </c>
      <c r="H11" s="22">
        <v>3.5000000000000003E-2</v>
      </c>
      <c r="I11" s="507">
        <f t="shared" ref="I11:I37" si="0">$I$8</f>
        <v>1.28</v>
      </c>
    </row>
    <row r="12" spans="1:10" s="508" customFormat="1" ht="20.100000000000001" customHeight="1" x14ac:dyDescent="0.2">
      <c r="A12" s="16">
        <v>3</v>
      </c>
      <c r="B12" s="4" t="s">
        <v>44</v>
      </c>
      <c r="C12" s="20" t="s">
        <v>172</v>
      </c>
      <c r="D12" s="23" t="s">
        <v>43</v>
      </c>
      <c r="E12" s="5">
        <v>0.1067</v>
      </c>
      <c r="F12" s="6">
        <v>17.09</v>
      </c>
      <c r="G12" s="17">
        <f>ROUND(E12*F12,2)</f>
        <v>1.82</v>
      </c>
      <c r="H12" s="22">
        <v>0.1067</v>
      </c>
      <c r="I12" s="507">
        <f t="shared" si="0"/>
        <v>1.28</v>
      </c>
    </row>
    <row r="13" spans="1:10" s="508" customFormat="1" ht="20.100000000000001" customHeight="1" thickBot="1" x14ac:dyDescent="0.25">
      <c r="A13" s="251">
        <v>4</v>
      </c>
      <c r="B13" s="252">
        <v>88314</v>
      </c>
      <c r="C13" s="253" t="s">
        <v>175</v>
      </c>
      <c r="D13" s="254" t="s">
        <v>43</v>
      </c>
      <c r="E13" s="255">
        <v>1.1301000000000001</v>
      </c>
      <c r="F13" s="256">
        <v>16.98</v>
      </c>
      <c r="G13" s="257">
        <f>ROUND(E13*F13,2)</f>
        <v>19.190000000000001</v>
      </c>
      <c r="H13" s="22">
        <v>1.1301000000000001</v>
      </c>
      <c r="I13" s="507">
        <f t="shared" si="0"/>
        <v>1.28</v>
      </c>
    </row>
    <row r="14" spans="1:10" s="33" customFormat="1" ht="20.100000000000001" customHeight="1" thickBot="1" x14ac:dyDescent="0.25">
      <c r="A14" s="973" t="s">
        <v>45</v>
      </c>
      <c r="B14" s="974"/>
      <c r="C14" s="974"/>
      <c r="D14" s="974"/>
      <c r="E14" s="975">
        <f>SUM(G10:G13)</f>
        <v>22.01</v>
      </c>
      <c r="F14" s="975"/>
      <c r="G14" s="976"/>
      <c r="H14" s="21"/>
      <c r="I14" s="30"/>
    </row>
    <row r="15" spans="1:10" s="33" customFormat="1" ht="20.100000000000001" customHeight="1" x14ac:dyDescent="0.2">
      <c r="A15" s="889" t="s">
        <v>46</v>
      </c>
      <c r="B15" s="890"/>
      <c r="C15" s="890"/>
      <c r="D15" s="890"/>
      <c r="E15" s="890"/>
      <c r="F15" s="890"/>
      <c r="G15" s="891"/>
      <c r="H15" s="577"/>
      <c r="I15" s="30"/>
    </row>
    <row r="16" spans="1:10" s="33" customFormat="1" ht="20.100000000000001" customHeight="1" x14ac:dyDescent="0.2">
      <c r="A16" s="18" t="s">
        <v>36</v>
      </c>
      <c r="B16" s="23" t="s">
        <v>306</v>
      </c>
      <c r="C16" s="8" t="s">
        <v>37</v>
      </c>
      <c r="D16" s="23" t="s">
        <v>38</v>
      </c>
      <c r="E16" s="8" t="s">
        <v>160</v>
      </c>
      <c r="F16" s="9" t="s">
        <v>39</v>
      </c>
      <c r="G16" s="19" t="s">
        <v>40</v>
      </c>
      <c r="H16" s="21"/>
      <c r="I16" s="30"/>
    </row>
    <row r="17" spans="1:9" s="508" customFormat="1" ht="20.100000000000001" customHeight="1" x14ac:dyDescent="0.2">
      <c r="A17" s="16">
        <v>1</v>
      </c>
      <c r="B17" s="7">
        <v>5944</v>
      </c>
      <c r="C17" s="34" t="s">
        <v>163</v>
      </c>
      <c r="D17" s="23" t="s">
        <v>183</v>
      </c>
      <c r="E17" s="5">
        <v>3.5000000000000003E-2</v>
      </c>
      <c r="F17" s="6">
        <v>254.64</v>
      </c>
      <c r="G17" s="17">
        <f>ROUND(E17*F17,2)</f>
        <v>8.91</v>
      </c>
      <c r="H17" s="22">
        <v>3.5000000000000003E-2</v>
      </c>
      <c r="I17" s="507">
        <f t="shared" si="0"/>
        <v>1.28</v>
      </c>
    </row>
    <row r="18" spans="1:9" s="508" customFormat="1" ht="20.100000000000001" customHeight="1" x14ac:dyDescent="0.2">
      <c r="A18" s="16">
        <v>2</v>
      </c>
      <c r="B18" s="7">
        <v>7030</v>
      </c>
      <c r="C18" s="34" t="s">
        <v>164</v>
      </c>
      <c r="D18" s="23" t="s">
        <v>183</v>
      </c>
      <c r="E18" s="5">
        <v>1.34E-2</v>
      </c>
      <c r="F18" s="6">
        <v>304.27999999999997</v>
      </c>
      <c r="G18" s="17">
        <f t="shared" ref="G18:G29" si="1">ROUND(E18*F18,2)</f>
        <v>4.08</v>
      </c>
      <c r="H18" s="22">
        <v>1.34E-2</v>
      </c>
      <c r="I18" s="507">
        <f t="shared" si="0"/>
        <v>1.28</v>
      </c>
    </row>
    <row r="19" spans="1:9" s="508" customFormat="1" ht="20.100000000000001" customHeight="1" x14ac:dyDescent="0.2">
      <c r="A19" s="16">
        <v>3</v>
      </c>
      <c r="B19" s="7">
        <v>93433</v>
      </c>
      <c r="C19" s="34" t="s">
        <v>166</v>
      </c>
      <c r="D19" s="23" t="s">
        <v>183</v>
      </c>
      <c r="E19" s="5">
        <v>1.34E-2</v>
      </c>
      <c r="F19" s="6">
        <v>2829.12</v>
      </c>
      <c r="G19" s="17">
        <f t="shared" si="1"/>
        <v>37.909999999999997</v>
      </c>
      <c r="H19" s="22">
        <v>1.34E-2</v>
      </c>
      <c r="I19" s="507">
        <f t="shared" si="0"/>
        <v>1.28</v>
      </c>
    </row>
    <row r="20" spans="1:9" s="508" customFormat="1" ht="20.100000000000001" customHeight="1" x14ac:dyDescent="0.2">
      <c r="A20" s="16">
        <v>4</v>
      </c>
      <c r="B20" s="7">
        <v>95872</v>
      </c>
      <c r="C20" s="34" t="s">
        <v>167</v>
      </c>
      <c r="D20" s="23" t="s">
        <v>183</v>
      </c>
      <c r="E20" s="5">
        <v>1.34E-2</v>
      </c>
      <c r="F20" s="6">
        <v>330.3</v>
      </c>
      <c r="G20" s="17">
        <f t="shared" si="1"/>
        <v>4.43</v>
      </c>
      <c r="H20" s="22">
        <v>1.34E-2</v>
      </c>
      <c r="I20" s="507">
        <f t="shared" si="0"/>
        <v>1.28</v>
      </c>
    </row>
    <row r="21" spans="1:9" s="508" customFormat="1" ht="20.100000000000001" customHeight="1" x14ac:dyDescent="0.2">
      <c r="A21" s="16">
        <v>5</v>
      </c>
      <c r="B21" s="7">
        <v>5835</v>
      </c>
      <c r="C21" s="34" t="s">
        <v>173</v>
      </c>
      <c r="D21" s="23" t="s">
        <v>183</v>
      </c>
      <c r="E21" s="5">
        <v>4.6399999999999997E-2</v>
      </c>
      <c r="F21" s="6">
        <v>390.59</v>
      </c>
      <c r="G21" s="17">
        <f t="shared" si="1"/>
        <v>18.12</v>
      </c>
      <c r="H21" s="22">
        <v>4.6399999999999997E-2</v>
      </c>
      <c r="I21" s="507">
        <f t="shared" si="0"/>
        <v>1.28</v>
      </c>
    </row>
    <row r="22" spans="1:9" s="508" customFormat="1" ht="35.25" customHeight="1" x14ac:dyDescent="0.2">
      <c r="A22" s="16">
        <v>6</v>
      </c>
      <c r="B22" s="7">
        <v>5837</v>
      </c>
      <c r="C22" s="34" t="s">
        <v>174</v>
      </c>
      <c r="D22" s="23" t="s">
        <v>185</v>
      </c>
      <c r="E22" s="5">
        <v>9.4899999999999998E-2</v>
      </c>
      <c r="F22" s="6">
        <v>135.47</v>
      </c>
      <c r="G22" s="17">
        <f t="shared" si="1"/>
        <v>12.86</v>
      </c>
      <c r="H22" s="22">
        <v>9.4899999999999998E-2</v>
      </c>
      <c r="I22" s="507">
        <f t="shared" si="0"/>
        <v>1.28</v>
      </c>
    </row>
    <row r="23" spans="1:9" s="508" customFormat="1" ht="20.100000000000001" customHeight="1" x14ac:dyDescent="0.2">
      <c r="A23" s="16">
        <v>7</v>
      </c>
      <c r="B23" s="7">
        <v>91386</v>
      </c>
      <c r="C23" s="34" t="s">
        <v>176</v>
      </c>
      <c r="D23" s="23" t="s">
        <v>183</v>
      </c>
      <c r="E23" s="5">
        <v>4.6399999999999997E-2</v>
      </c>
      <c r="F23" s="6">
        <v>259.04000000000002</v>
      </c>
      <c r="G23" s="17">
        <f t="shared" si="1"/>
        <v>12.02</v>
      </c>
      <c r="H23" s="22">
        <v>4.6399999999999997E-2</v>
      </c>
      <c r="I23" s="507">
        <f t="shared" si="0"/>
        <v>1.28</v>
      </c>
    </row>
    <row r="24" spans="1:9" s="508" customFormat="1" ht="20.100000000000001" customHeight="1" x14ac:dyDescent="0.2">
      <c r="A24" s="16">
        <v>8</v>
      </c>
      <c r="B24" s="7">
        <v>95631</v>
      </c>
      <c r="C24" s="34" t="s">
        <v>177</v>
      </c>
      <c r="D24" s="23" t="s">
        <v>183</v>
      </c>
      <c r="E24" s="5">
        <v>8.0500000000000002E-2</v>
      </c>
      <c r="F24" s="6">
        <v>233.04</v>
      </c>
      <c r="G24" s="17">
        <f t="shared" si="1"/>
        <v>18.760000000000002</v>
      </c>
      <c r="H24" s="22">
        <v>8.0500000000000002E-2</v>
      </c>
      <c r="I24" s="507">
        <f t="shared" si="0"/>
        <v>1.28</v>
      </c>
    </row>
    <row r="25" spans="1:9" s="508" customFormat="1" ht="20.100000000000001" customHeight="1" x14ac:dyDescent="0.2">
      <c r="A25" s="16">
        <v>9</v>
      </c>
      <c r="B25" s="7">
        <v>95632</v>
      </c>
      <c r="C25" s="34" t="s">
        <v>178</v>
      </c>
      <c r="D25" s="23" t="s">
        <v>185</v>
      </c>
      <c r="E25" s="5">
        <v>6.0699999999999997E-2</v>
      </c>
      <c r="F25" s="6">
        <v>73.349999999999994</v>
      </c>
      <c r="G25" s="17">
        <f t="shared" si="1"/>
        <v>4.45</v>
      </c>
      <c r="H25" s="22">
        <v>6.0699999999999997E-2</v>
      </c>
      <c r="I25" s="507">
        <f t="shared" si="0"/>
        <v>1.28</v>
      </c>
    </row>
    <row r="26" spans="1:9" s="508" customFormat="1" ht="20.100000000000001" customHeight="1" x14ac:dyDescent="0.2">
      <c r="A26" s="16">
        <v>10</v>
      </c>
      <c r="B26" s="7">
        <v>96155</v>
      </c>
      <c r="C26" s="34" t="s">
        <v>179</v>
      </c>
      <c r="D26" s="23" t="s">
        <v>185</v>
      </c>
      <c r="E26" s="5">
        <v>0.1071</v>
      </c>
      <c r="F26" s="6">
        <v>41.31</v>
      </c>
      <c r="G26" s="17">
        <f t="shared" si="1"/>
        <v>4.42</v>
      </c>
      <c r="H26" s="22">
        <v>0.1071</v>
      </c>
      <c r="I26" s="507">
        <f t="shared" si="0"/>
        <v>1.28</v>
      </c>
    </row>
    <row r="27" spans="1:9" s="508" customFormat="1" ht="20.100000000000001" customHeight="1" x14ac:dyDescent="0.2">
      <c r="A27" s="16">
        <v>11</v>
      </c>
      <c r="B27" s="7">
        <v>96157</v>
      </c>
      <c r="C27" s="34" t="s">
        <v>180</v>
      </c>
      <c r="D27" s="23" t="s">
        <v>183</v>
      </c>
      <c r="E27" s="5">
        <v>3.4099999999999998E-2</v>
      </c>
      <c r="F27" s="6">
        <v>137.94999999999999</v>
      </c>
      <c r="G27" s="17">
        <f t="shared" si="1"/>
        <v>4.7</v>
      </c>
      <c r="H27" s="22">
        <v>3.4099999999999998E-2</v>
      </c>
      <c r="I27" s="507">
        <f t="shared" si="0"/>
        <v>1.28</v>
      </c>
    </row>
    <row r="28" spans="1:9" s="508" customFormat="1" ht="20.100000000000001" customHeight="1" x14ac:dyDescent="0.2">
      <c r="A28" s="16">
        <v>12</v>
      </c>
      <c r="B28" s="7">
        <v>96463</v>
      </c>
      <c r="C28" s="34" t="s">
        <v>181</v>
      </c>
      <c r="D28" s="23" t="s">
        <v>183</v>
      </c>
      <c r="E28" s="5">
        <v>4.19E-2</v>
      </c>
      <c r="F28" s="6">
        <v>216.2</v>
      </c>
      <c r="G28" s="17">
        <f t="shared" si="1"/>
        <v>9.06</v>
      </c>
      <c r="H28" s="22">
        <v>4.19E-2</v>
      </c>
      <c r="I28" s="507">
        <f t="shared" si="0"/>
        <v>1.28</v>
      </c>
    </row>
    <row r="29" spans="1:9" s="508" customFormat="1" ht="20.100000000000001" customHeight="1" thickBot="1" x14ac:dyDescent="0.25">
      <c r="A29" s="251">
        <v>13</v>
      </c>
      <c r="B29" s="252">
        <v>96464</v>
      </c>
      <c r="C29" s="258" t="s">
        <v>182</v>
      </c>
      <c r="D29" s="254" t="s">
        <v>185</v>
      </c>
      <c r="E29" s="255">
        <v>9.9000000000000005E-2</v>
      </c>
      <c r="F29" s="256">
        <v>79.11</v>
      </c>
      <c r="G29" s="257">
        <f t="shared" si="1"/>
        <v>7.83</v>
      </c>
      <c r="H29" s="22">
        <v>9.9000000000000005E-2</v>
      </c>
      <c r="I29" s="507">
        <f t="shared" si="0"/>
        <v>1.28</v>
      </c>
    </row>
    <row r="30" spans="1:9" s="33" customFormat="1" ht="20.100000000000001" customHeight="1" thickBot="1" x14ac:dyDescent="0.25">
      <c r="A30" s="973" t="s">
        <v>47</v>
      </c>
      <c r="B30" s="974"/>
      <c r="C30" s="974"/>
      <c r="D30" s="974"/>
      <c r="E30" s="975">
        <f>SUM(G17:G29)</f>
        <v>147.55000000000001</v>
      </c>
      <c r="F30" s="975"/>
      <c r="G30" s="976"/>
      <c r="H30" s="21"/>
      <c r="I30" s="30"/>
    </row>
    <row r="31" spans="1:9" s="33" customFormat="1" ht="20.100000000000001" customHeight="1" x14ac:dyDescent="0.2">
      <c r="A31" s="889" t="s">
        <v>48</v>
      </c>
      <c r="B31" s="890"/>
      <c r="C31" s="890"/>
      <c r="D31" s="890"/>
      <c r="E31" s="890"/>
      <c r="F31" s="890"/>
      <c r="G31" s="891"/>
      <c r="H31" s="577"/>
      <c r="I31" s="30"/>
    </row>
    <row r="32" spans="1:9" s="33" customFormat="1" ht="20.100000000000001" customHeight="1" x14ac:dyDescent="0.2">
      <c r="A32" s="18" t="s">
        <v>36</v>
      </c>
      <c r="B32" s="23" t="s">
        <v>306</v>
      </c>
      <c r="C32" s="8" t="s">
        <v>37</v>
      </c>
      <c r="D32" s="23" t="s">
        <v>38</v>
      </c>
      <c r="E32" s="8" t="s">
        <v>160</v>
      </c>
      <c r="F32" s="9" t="s">
        <v>39</v>
      </c>
      <c r="G32" s="19" t="s">
        <v>40</v>
      </c>
      <c r="H32" s="21"/>
      <c r="I32" s="30"/>
    </row>
    <row r="33" spans="1:9" s="508" customFormat="1" ht="20.100000000000001" customHeight="1" x14ac:dyDescent="0.2">
      <c r="A33" s="16">
        <v>1</v>
      </c>
      <c r="B33" s="654">
        <v>370</v>
      </c>
      <c r="C33" s="20" t="s">
        <v>161</v>
      </c>
      <c r="D33" s="23" t="s">
        <v>0</v>
      </c>
      <c r="E33" s="5">
        <v>0.1875</v>
      </c>
      <c r="F33" s="6">
        <v>90</v>
      </c>
      <c r="G33" s="17">
        <f>ROUND(E33*F33,2)</f>
        <v>16.88</v>
      </c>
      <c r="H33" s="22">
        <v>0.1875</v>
      </c>
      <c r="I33" s="507">
        <f t="shared" si="0"/>
        <v>1.28</v>
      </c>
    </row>
    <row r="34" spans="1:9" s="508" customFormat="1" ht="20.100000000000001" customHeight="1" x14ac:dyDescent="0.2">
      <c r="A34" s="16">
        <v>2</v>
      </c>
      <c r="B34" s="543">
        <v>4734</v>
      </c>
      <c r="C34" s="20" t="s">
        <v>162</v>
      </c>
      <c r="D34" s="23" t="s">
        <v>0</v>
      </c>
      <c r="E34" s="5">
        <v>0.252</v>
      </c>
      <c r="F34" s="6">
        <v>515.26</v>
      </c>
      <c r="G34" s="17">
        <f>ROUND(E34*F34,2)</f>
        <v>129.85</v>
      </c>
      <c r="H34" s="22">
        <v>0.252</v>
      </c>
      <c r="I34" s="507">
        <f t="shared" si="0"/>
        <v>1.28</v>
      </c>
    </row>
    <row r="35" spans="1:9" s="508" customFormat="1" ht="20.100000000000001" customHeight="1" x14ac:dyDescent="0.2">
      <c r="A35" s="16">
        <v>3</v>
      </c>
      <c r="B35" s="654">
        <v>41899</v>
      </c>
      <c r="C35" s="584" t="s">
        <v>165</v>
      </c>
      <c r="D35" s="23" t="s">
        <v>30</v>
      </c>
      <c r="E35" s="5">
        <v>0.06</v>
      </c>
      <c r="F35" s="6">
        <v>5148.33</v>
      </c>
      <c r="G35" s="17">
        <f>ROUND(E35*F35,2)</f>
        <v>308.89999999999998</v>
      </c>
      <c r="H35" s="22">
        <v>0.06</v>
      </c>
      <c r="I35" s="507">
        <f t="shared" si="0"/>
        <v>1.28</v>
      </c>
    </row>
    <row r="36" spans="1:9" s="508" customFormat="1" ht="20.100000000000001" customHeight="1" x14ac:dyDescent="0.2">
      <c r="A36" s="16">
        <v>4</v>
      </c>
      <c r="B36" s="543">
        <v>4221</v>
      </c>
      <c r="C36" s="20" t="s">
        <v>168</v>
      </c>
      <c r="D36" s="23" t="s">
        <v>184</v>
      </c>
      <c r="E36" s="5">
        <v>5</v>
      </c>
      <c r="F36" s="6">
        <v>6.81</v>
      </c>
      <c r="G36" s="17">
        <f>ROUND(E36*F36,2)</f>
        <v>34.049999999999997</v>
      </c>
      <c r="H36" s="22">
        <v>5</v>
      </c>
      <c r="I36" s="507">
        <f t="shared" si="0"/>
        <v>1.28</v>
      </c>
    </row>
    <row r="37" spans="1:9" s="508" customFormat="1" ht="20.100000000000001" customHeight="1" thickBot="1" x14ac:dyDescent="0.25">
      <c r="A37" s="251">
        <v>5</v>
      </c>
      <c r="B37" s="585">
        <v>11138</v>
      </c>
      <c r="C37" s="586" t="s">
        <v>169</v>
      </c>
      <c r="D37" s="254" t="s">
        <v>184</v>
      </c>
      <c r="E37" s="255">
        <v>20</v>
      </c>
      <c r="F37" s="256">
        <v>4.38</v>
      </c>
      <c r="G37" s="257">
        <f>ROUND(E37*F37,2)</f>
        <v>87.6</v>
      </c>
      <c r="H37" s="22">
        <v>20</v>
      </c>
      <c r="I37" s="507">
        <f t="shared" si="0"/>
        <v>1.28</v>
      </c>
    </row>
    <row r="38" spans="1:9" s="33" customFormat="1" ht="20.100000000000001" customHeight="1" thickBot="1" x14ac:dyDescent="0.25">
      <c r="A38" s="973" t="s">
        <v>49</v>
      </c>
      <c r="B38" s="974"/>
      <c r="C38" s="974"/>
      <c r="D38" s="974"/>
      <c r="E38" s="975">
        <f>SUM(G33:G37)</f>
        <v>577.28</v>
      </c>
      <c r="F38" s="975"/>
      <c r="G38" s="976"/>
      <c r="H38" s="21"/>
      <c r="I38" s="30"/>
    </row>
    <row r="39" spans="1:9" s="33" customFormat="1" ht="20.100000000000001" customHeight="1" x14ac:dyDescent="0.2">
      <c r="A39" s="978" t="s">
        <v>50</v>
      </c>
      <c r="B39" s="979"/>
      <c r="C39" s="979"/>
      <c r="D39" s="979"/>
      <c r="E39" s="979"/>
      <c r="F39" s="979"/>
      <c r="G39" s="980"/>
      <c r="H39" s="578"/>
      <c r="I39" s="30"/>
    </row>
    <row r="40" spans="1:9" s="33" customFormat="1" ht="20.100000000000001" customHeight="1" x14ac:dyDescent="0.2">
      <c r="A40" s="18" t="s">
        <v>36</v>
      </c>
      <c r="B40" s="23"/>
      <c r="C40" s="23" t="s">
        <v>51</v>
      </c>
      <c r="D40" s="23" t="s">
        <v>40</v>
      </c>
      <c r="E40" s="23"/>
      <c r="F40" s="544"/>
      <c r="G40" s="19"/>
      <c r="H40" s="21"/>
      <c r="I40" s="30"/>
    </row>
    <row r="41" spans="1:9" s="33" customFormat="1" ht="20.100000000000001" customHeight="1" x14ac:dyDescent="0.2">
      <c r="A41" s="18" t="s">
        <v>52</v>
      </c>
      <c r="B41" s="23"/>
      <c r="C41" s="23" t="s">
        <v>53</v>
      </c>
      <c r="D41" s="898" t="s">
        <v>54</v>
      </c>
      <c r="E41" s="898"/>
      <c r="F41" s="898"/>
      <c r="G41" s="19">
        <f>E14</f>
        <v>22.01</v>
      </c>
      <c r="H41" s="21"/>
      <c r="I41" s="30"/>
    </row>
    <row r="42" spans="1:9" s="33" customFormat="1" ht="20.100000000000001" customHeight="1" x14ac:dyDescent="0.2">
      <c r="A42" s="18" t="s">
        <v>55</v>
      </c>
      <c r="B42" s="23"/>
      <c r="C42" s="23" t="s">
        <v>56</v>
      </c>
      <c r="D42" s="898" t="s">
        <v>57</v>
      </c>
      <c r="E42" s="898"/>
      <c r="F42" s="898"/>
      <c r="G42" s="19">
        <f>E30</f>
        <v>147.55000000000001</v>
      </c>
      <c r="H42" s="21"/>
      <c r="I42" s="30"/>
    </row>
    <row r="43" spans="1:9" s="33" customFormat="1" ht="20.100000000000001" customHeight="1" x14ac:dyDescent="0.2">
      <c r="A43" s="18" t="s">
        <v>15</v>
      </c>
      <c r="B43" s="23"/>
      <c r="C43" s="23" t="s">
        <v>58</v>
      </c>
      <c r="D43" s="898" t="s">
        <v>59</v>
      </c>
      <c r="E43" s="898"/>
      <c r="F43" s="898"/>
      <c r="G43" s="19">
        <f>E38</f>
        <v>577.28</v>
      </c>
      <c r="H43" s="21"/>
      <c r="I43" s="30"/>
    </row>
    <row r="44" spans="1:9" s="33" customFormat="1" ht="20.100000000000001" customHeight="1" x14ac:dyDescent="0.2">
      <c r="A44" s="18" t="s">
        <v>9</v>
      </c>
      <c r="B44" s="23"/>
      <c r="C44" s="10" t="s">
        <v>60</v>
      </c>
      <c r="D44" s="888" t="s">
        <v>61</v>
      </c>
      <c r="E44" s="888"/>
      <c r="F44" s="888"/>
      <c r="G44" s="24">
        <f>G41+G42+G43</f>
        <v>746.84</v>
      </c>
      <c r="H44" s="578">
        <v>596</v>
      </c>
      <c r="I44" s="30"/>
    </row>
    <row r="45" spans="1:9" s="33" customFormat="1" ht="20.100000000000001" customHeight="1" x14ac:dyDescent="0.2">
      <c r="A45" s="18" t="s">
        <v>62</v>
      </c>
      <c r="B45" s="23"/>
      <c r="C45" s="10" t="s">
        <v>63</v>
      </c>
      <c r="D45" s="11" t="s">
        <v>209</v>
      </c>
      <c r="E45" s="12"/>
      <c r="F45" s="259">
        <v>0.27460000000000001</v>
      </c>
      <c r="G45" s="545">
        <f>G44*F45</f>
        <v>205.08</v>
      </c>
      <c r="H45" s="579"/>
      <c r="I45" s="30"/>
    </row>
    <row r="46" spans="1:9" s="33" customFormat="1" ht="20.100000000000001" customHeight="1" thickBot="1" x14ac:dyDescent="0.25">
      <c r="A46" s="580"/>
      <c r="B46" s="581"/>
      <c r="C46" s="581"/>
      <c r="D46" s="977" t="s">
        <v>64</v>
      </c>
      <c r="E46" s="977"/>
      <c r="F46" s="977"/>
      <c r="G46" s="582">
        <f>G44+G45</f>
        <v>951.92</v>
      </c>
      <c r="H46" s="15"/>
      <c r="I46" s="30"/>
    </row>
    <row r="47" spans="1:9" x14ac:dyDescent="0.2">
      <c r="A47" s="13"/>
      <c r="B47" s="13"/>
      <c r="C47" s="13"/>
      <c r="D47" s="14"/>
      <c r="E47" s="14"/>
      <c r="F47" s="14"/>
      <c r="G47" s="15"/>
      <c r="H47" s="15"/>
    </row>
    <row r="48" spans="1:9" x14ac:dyDescent="0.2">
      <c r="A48" s="550"/>
      <c r="B48" s="550"/>
      <c r="C48" s="550"/>
      <c r="D48" s="550"/>
      <c r="E48" s="550"/>
      <c r="F48" s="550"/>
      <c r="G48" s="550"/>
      <c r="H48" s="574"/>
    </row>
    <row r="49" spans="1:8" x14ac:dyDescent="0.2">
      <c r="A49" s="550"/>
      <c r="B49" s="550"/>
      <c r="C49" s="550"/>
      <c r="D49" s="550"/>
      <c r="E49" s="550"/>
      <c r="F49" s="550"/>
      <c r="G49" s="550"/>
      <c r="H49" s="574"/>
    </row>
    <row r="50" spans="1:8" x14ac:dyDescent="0.2">
      <c r="A50" s="550"/>
      <c r="B50" s="550"/>
      <c r="C50" s="550"/>
      <c r="D50" s="550"/>
      <c r="E50" s="550"/>
      <c r="F50" s="550"/>
      <c r="G50" s="550"/>
      <c r="H50" s="574"/>
    </row>
    <row r="51" spans="1:8" x14ac:dyDescent="0.2">
      <c r="A51" s="550"/>
      <c r="B51" s="550"/>
      <c r="C51" s="550"/>
      <c r="D51" s="550"/>
      <c r="E51" s="550"/>
      <c r="F51" s="550"/>
      <c r="G51" s="550"/>
      <c r="H51" s="574"/>
    </row>
    <row r="52" spans="1:8" x14ac:dyDescent="0.2">
      <c r="A52" s="550"/>
      <c r="B52" s="550"/>
      <c r="C52" s="550"/>
      <c r="D52" s="550"/>
      <c r="E52" s="550"/>
      <c r="F52" s="550"/>
      <c r="G52" s="550"/>
      <c r="H52" s="574"/>
    </row>
    <row r="53" spans="1:8" x14ac:dyDescent="0.2">
      <c r="A53" s="550"/>
      <c r="B53" s="550"/>
      <c r="C53" s="550"/>
      <c r="D53" s="550"/>
      <c r="E53" s="550"/>
      <c r="F53" s="550"/>
      <c r="G53" s="550"/>
      <c r="H53" s="574"/>
    </row>
    <row r="54" spans="1:8" x14ac:dyDescent="0.2">
      <c r="A54" s="587"/>
      <c r="B54" s="587"/>
      <c r="C54" s="587"/>
      <c r="D54" s="587"/>
      <c r="E54" s="587"/>
      <c r="F54" s="587"/>
      <c r="G54" s="587"/>
      <c r="H54" s="588"/>
    </row>
  </sheetData>
  <mergeCells count="21">
    <mergeCell ref="D44:F44"/>
    <mergeCell ref="D46:F46"/>
    <mergeCell ref="A38:D38"/>
    <mergeCell ref="E38:G38"/>
    <mergeCell ref="A39:G39"/>
    <mergeCell ref="D41:F41"/>
    <mergeCell ref="D42:F42"/>
    <mergeCell ref="D43:F43"/>
    <mergeCell ref="A31:G31"/>
    <mergeCell ref="A2:G2"/>
    <mergeCell ref="A3:G3"/>
    <mergeCell ref="A4:G4"/>
    <mergeCell ref="A5:G5"/>
    <mergeCell ref="C6:F6"/>
    <mergeCell ref="A8:G8"/>
    <mergeCell ref="A7:G7"/>
    <mergeCell ref="A14:D14"/>
    <mergeCell ref="E14:G14"/>
    <mergeCell ref="A15:G15"/>
    <mergeCell ref="A30:D30"/>
    <mergeCell ref="E30:G30"/>
  </mergeCells>
  <printOptions horizontalCentered="1"/>
  <pageMargins left="0.51181102362204722" right="0.51181102362204722" top="0.78740157480314965" bottom="0.78740157480314965" header="0.31496062992125984" footer="0.31496062992125984"/>
  <pageSetup paperSize="9" scale="80"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J49"/>
  <sheetViews>
    <sheetView view="pageBreakPreview" zoomScale="90" zoomScaleNormal="100" zoomScaleSheetLayoutView="90" workbookViewId="0">
      <selection activeCell="C34" sqref="C34"/>
    </sheetView>
  </sheetViews>
  <sheetFormatPr defaultRowHeight="12.75" x14ac:dyDescent="0.2"/>
  <cols>
    <col min="1" max="1" width="7.7109375" style="31" customWidth="1"/>
    <col min="2" max="2" width="10.7109375" style="31" customWidth="1"/>
    <col min="3" max="3" width="36.42578125" style="31" bestFit="1" customWidth="1"/>
    <col min="4" max="5" width="11.7109375" style="31" customWidth="1"/>
    <col min="6" max="6" width="12.7109375" style="31" customWidth="1"/>
    <col min="7" max="7" width="10.42578125" style="31" customWidth="1"/>
    <col min="8" max="8" width="11.7109375" style="30" customWidth="1"/>
    <col min="9" max="9" width="9.140625" style="30"/>
    <col min="10" max="16384" width="9.140625" style="31"/>
  </cols>
  <sheetData>
    <row r="1" spans="1:10" x14ac:dyDescent="0.2">
      <c r="A1" s="535"/>
      <c r="B1" s="536"/>
      <c r="C1" s="536"/>
      <c r="D1" s="536"/>
      <c r="E1" s="536"/>
      <c r="F1" s="536"/>
      <c r="G1" s="537"/>
      <c r="H1" s="574"/>
    </row>
    <row r="2" spans="1:10" x14ac:dyDescent="0.2">
      <c r="A2" s="907" t="s">
        <v>19</v>
      </c>
      <c r="B2" s="908"/>
      <c r="C2" s="908"/>
      <c r="D2" s="908"/>
      <c r="E2" s="908"/>
      <c r="F2" s="908"/>
      <c r="G2" s="909"/>
      <c r="H2" s="575"/>
    </row>
    <row r="3" spans="1:10" x14ac:dyDescent="0.2">
      <c r="A3" s="910" t="s">
        <v>193</v>
      </c>
      <c r="B3" s="911"/>
      <c r="C3" s="911"/>
      <c r="D3" s="911"/>
      <c r="E3" s="911"/>
      <c r="F3" s="911"/>
      <c r="G3" s="912"/>
      <c r="H3" s="575"/>
    </row>
    <row r="4" spans="1:10" x14ac:dyDescent="0.2">
      <c r="A4" s="913" t="s">
        <v>18</v>
      </c>
      <c r="B4" s="914"/>
      <c r="C4" s="914"/>
      <c r="D4" s="914"/>
      <c r="E4" s="914"/>
      <c r="F4" s="914"/>
      <c r="G4" s="915"/>
      <c r="H4" s="575"/>
    </row>
    <row r="5" spans="1:10" ht="13.5" thickBot="1" x14ac:dyDescent="0.25">
      <c r="A5" s="916"/>
      <c r="B5" s="917"/>
      <c r="C5" s="917"/>
      <c r="D5" s="917"/>
      <c r="E5" s="917"/>
      <c r="F5" s="917"/>
      <c r="G5" s="918"/>
      <c r="H5" s="575"/>
    </row>
    <row r="6" spans="1:10" ht="27" thickTop="1" thickBot="1" x14ac:dyDescent="0.25">
      <c r="A6" s="539" t="s">
        <v>634</v>
      </c>
      <c r="B6" s="540" t="s">
        <v>690</v>
      </c>
      <c r="C6" s="919" t="s">
        <v>495</v>
      </c>
      <c r="D6" s="919"/>
      <c r="E6" s="919"/>
      <c r="F6" s="919"/>
      <c r="G6" s="541" t="s">
        <v>590</v>
      </c>
      <c r="H6" s="576"/>
    </row>
    <row r="7" spans="1:10" ht="41.25" customHeight="1" thickTop="1" x14ac:dyDescent="0.2">
      <c r="A7" s="970" t="str">
        <f>'ORÇAMENTO GERAL'!C7</f>
        <v>EXECUÇÃO DOS SERVIÇOS DE DRENAGEM SUPERFICIAL E DRENAGEM PROFUNDA  NA TRAVESSA BEIRA RIO E RUA MOCAJATUBA - NO DISTRITO INDUSTRIAL  NO MUNICÍPIO DE ANANINDEUA (PA).</v>
      </c>
      <c r="B7" s="971"/>
      <c r="C7" s="971"/>
      <c r="D7" s="971"/>
      <c r="E7" s="971"/>
      <c r="F7" s="971"/>
      <c r="G7" s="972"/>
      <c r="H7" s="576"/>
    </row>
    <row r="8" spans="1:10" s="33" customFormat="1" ht="20.100000000000001" customHeight="1" x14ac:dyDescent="0.2">
      <c r="A8" s="889" t="s">
        <v>35</v>
      </c>
      <c r="B8" s="890"/>
      <c r="C8" s="890"/>
      <c r="D8" s="890"/>
      <c r="E8" s="890"/>
      <c r="F8" s="890"/>
      <c r="G8" s="891"/>
      <c r="H8" s="577"/>
      <c r="I8" s="30">
        <v>1.28</v>
      </c>
      <c r="J8" s="32">
        <f>G43</f>
        <v>200.42</v>
      </c>
    </row>
    <row r="9" spans="1:10" s="33" customFormat="1" ht="20.100000000000001" customHeight="1" x14ac:dyDescent="0.2">
      <c r="A9" s="18" t="s">
        <v>36</v>
      </c>
      <c r="B9" s="23" t="s">
        <v>306</v>
      </c>
      <c r="C9" s="8" t="s">
        <v>37</v>
      </c>
      <c r="D9" s="23" t="s">
        <v>38</v>
      </c>
      <c r="E9" s="8" t="s">
        <v>160</v>
      </c>
      <c r="F9" s="9" t="s">
        <v>39</v>
      </c>
      <c r="G9" s="19" t="s">
        <v>40</v>
      </c>
      <c r="H9" s="21"/>
      <c r="I9" s="30"/>
    </row>
    <row r="10" spans="1:10" s="508" customFormat="1" ht="24.75" customHeight="1" x14ac:dyDescent="0.2">
      <c r="A10" s="16">
        <v>1</v>
      </c>
      <c r="B10" s="4" t="s">
        <v>496</v>
      </c>
      <c r="C10" s="20" t="s">
        <v>433</v>
      </c>
      <c r="D10" s="23" t="s">
        <v>43</v>
      </c>
      <c r="E10" s="5" t="str">
        <f>'[2]Composição ORSE'!$H$12</f>
        <v xml:space="preserve"> 0,0059524</v>
      </c>
      <c r="F10" s="6">
        <v>20.190000000000001</v>
      </c>
      <c r="G10" s="17">
        <f>ROUND(E10*F10,2)</f>
        <v>0.12</v>
      </c>
      <c r="H10" s="22">
        <v>1.34E-2</v>
      </c>
      <c r="I10" s="507">
        <f>$I$8</f>
        <v>1.28</v>
      </c>
    </row>
    <row r="11" spans="1:10" s="508" customFormat="1" ht="29.25" customHeight="1" thickBot="1" x14ac:dyDescent="0.25">
      <c r="A11" s="16">
        <v>2</v>
      </c>
      <c r="B11" s="4" t="s">
        <v>44</v>
      </c>
      <c r="C11" s="20" t="s">
        <v>198</v>
      </c>
      <c r="D11" s="23" t="s">
        <v>43</v>
      </c>
      <c r="E11" s="5" t="str">
        <f>'[2]Composição ORSE'!$H$20</f>
        <v xml:space="preserve"> 0,0178571</v>
      </c>
      <c r="F11" s="6">
        <v>18.16</v>
      </c>
      <c r="G11" s="17">
        <f>ROUND(E11*F11,2)</f>
        <v>0.32</v>
      </c>
      <c r="H11" s="22">
        <v>3.5000000000000003E-2</v>
      </c>
      <c r="I11" s="507">
        <f t="shared" ref="I11:I26" si="0">$I$8</f>
        <v>1.28</v>
      </c>
    </row>
    <row r="12" spans="1:10" s="33" customFormat="1" ht="20.100000000000001" customHeight="1" thickBot="1" x14ac:dyDescent="0.25">
      <c r="A12" s="973" t="s">
        <v>45</v>
      </c>
      <c r="B12" s="974"/>
      <c r="C12" s="974"/>
      <c r="D12" s="974"/>
      <c r="E12" s="975">
        <f>SUM(G10:G11)</f>
        <v>0.44</v>
      </c>
      <c r="F12" s="975"/>
      <c r="G12" s="976"/>
      <c r="H12" s="21"/>
      <c r="I12" s="30"/>
    </row>
    <row r="13" spans="1:10" s="33" customFormat="1" ht="20.100000000000001" customHeight="1" x14ac:dyDescent="0.2">
      <c r="A13" s="889" t="s">
        <v>46</v>
      </c>
      <c r="B13" s="890"/>
      <c r="C13" s="890"/>
      <c r="D13" s="890"/>
      <c r="E13" s="890"/>
      <c r="F13" s="890"/>
      <c r="G13" s="891"/>
      <c r="H13" s="577"/>
      <c r="I13" s="30"/>
    </row>
    <row r="14" spans="1:10" s="33" customFormat="1" ht="20.100000000000001" customHeight="1" x14ac:dyDescent="0.2">
      <c r="A14" s="18" t="s">
        <v>36</v>
      </c>
      <c r="B14" s="23" t="s">
        <v>306</v>
      </c>
      <c r="C14" s="8" t="s">
        <v>37</v>
      </c>
      <c r="D14" s="23" t="s">
        <v>38</v>
      </c>
      <c r="E14" s="8" t="s">
        <v>160</v>
      </c>
      <c r="F14" s="9" t="s">
        <v>39</v>
      </c>
      <c r="G14" s="19" t="s">
        <v>40</v>
      </c>
      <c r="H14" s="21"/>
      <c r="I14" s="30"/>
    </row>
    <row r="15" spans="1:10" s="508" customFormat="1" ht="24" customHeight="1" x14ac:dyDescent="0.2">
      <c r="A15" s="16">
        <v>1</v>
      </c>
      <c r="B15" s="7">
        <v>5903</v>
      </c>
      <c r="C15" s="34" t="s">
        <v>310</v>
      </c>
      <c r="D15" s="23" t="s">
        <v>185</v>
      </c>
      <c r="E15" s="5">
        <v>7.8E-2</v>
      </c>
      <c r="F15" s="6">
        <v>54.81</v>
      </c>
      <c r="G15" s="17">
        <f>ROUND(E15*F15,2)</f>
        <v>4.28</v>
      </c>
      <c r="H15" s="22">
        <v>3.5000000000000003E-2</v>
      </c>
      <c r="I15" s="507">
        <f t="shared" si="0"/>
        <v>1.28</v>
      </c>
      <c r="J15" s="508">
        <f>77.84/2</f>
        <v>38.92</v>
      </c>
    </row>
    <row r="16" spans="1:10" s="508" customFormat="1" ht="40.5" customHeight="1" x14ac:dyDescent="0.2">
      <c r="A16" s="16">
        <v>2</v>
      </c>
      <c r="B16" s="7">
        <v>5901</v>
      </c>
      <c r="C16" s="34" t="s">
        <v>309</v>
      </c>
      <c r="D16" s="23" t="s">
        <v>183</v>
      </c>
      <c r="E16" s="5">
        <v>2.1999999999999999E-2</v>
      </c>
      <c r="F16" s="509">
        <v>318.87</v>
      </c>
      <c r="G16" s="17">
        <f t="shared" ref="G16:G26" si="1">ROUND(E16*F16,2)</f>
        <v>7.02</v>
      </c>
      <c r="H16" s="22">
        <v>1.34E-2</v>
      </c>
      <c r="I16" s="507">
        <f t="shared" si="0"/>
        <v>1.28</v>
      </c>
    </row>
    <row r="17" spans="1:10" s="508" customFormat="1" ht="20.100000000000001" customHeight="1" x14ac:dyDescent="0.2">
      <c r="A17" s="16">
        <v>3</v>
      </c>
      <c r="B17" s="7">
        <v>5689</v>
      </c>
      <c r="C17" s="34" t="s">
        <v>497</v>
      </c>
      <c r="D17" s="23" t="s">
        <v>183</v>
      </c>
      <c r="E17" s="5">
        <v>0.13850000000000001</v>
      </c>
      <c r="F17" s="6">
        <v>7.34</v>
      </c>
      <c r="G17" s="17">
        <f t="shared" si="1"/>
        <v>1.02</v>
      </c>
      <c r="H17" s="22">
        <v>1.34E-2</v>
      </c>
      <c r="I17" s="507">
        <f t="shared" si="0"/>
        <v>1.28</v>
      </c>
      <c r="J17" s="508">
        <f>15.35/2</f>
        <v>7.6749999999999998</v>
      </c>
    </row>
    <row r="18" spans="1:10" s="508" customFormat="1" ht="20.100000000000001" customHeight="1" x14ac:dyDescent="0.2">
      <c r="A18" s="16">
        <v>4</v>
      </c>
      <c r="B18" s="7">
        <v>5690</v>
      </c>
      <c r="C18" s="34" t="s">
        <v>498</v>
      </c>
      <c r="D18" s="23" t="s">
        <v>185</v>
      </c>
      <c r="E18" s="5">
        <v>0.1615</v>
      </c>
      <c r="F18" s="6">
        <v>4.5599999999999996</v>
      </c>
      <c r="G18" s="17">
        <f t="shared" si="1"/>
        <v>0.74</v>
      </c>
      <c r="H18" s="22">
        <v>1.34E-2</v>
      </c>
      <c r="I18" s="507">
        <f t="shared" si="0"/>
        <v>1.28</v>
      </c>
    </row>
    <row r="19" spans="1:10" s="508" customFormat="1" ht="20.100000000000001" customHeight="1" x14ac:dyDescent="0.2">
      <c r="A19" s="16">
        <v>5</v>
      </c>
      <c r="B19" s="7">
        <v>5934</v>
      </c>
      <c r="C19" s="34" t="s">
        <v>314</v>
      </c>
      <c r="D19" s="23" t="s">
        <v>185</v>
      </c>
      <c r="E19" s="5">
        <v>7.1999999999999995E-2</v>
      </c>
      <c r="F19" s="6">
        <v>79.400000000000006</v>
      </c>
      <c r="G19" s="17">
        <f t="shared" si="1"/>
        <v>5.72</v>
      </c>
      <c r="H19" s="22">
        <v>4.6399999999999997E-2</v>
      </c>
      <c r="I19" s="507">
        <f t="shared" si="0"/>
        <v>1.28</v>
      </c>
      <c r="J19" s="508">
        <f>142.03/2</f>
        <v>71.015000000000001</v>
      </c>
    </row>
    <row r="20" spans="1:10" s="508" customFormat="1" ht="20.100000000000001" customHeight="1" x14ac:dyDescent="0.2">
      <c r="A20" s="16">
        <v>6</v>
      </c>
      <c r="B20" s="7">
        <v>5932</v>
      </c>
      <c r="C20" s="34" t="s">
        <v>312</v>
      </c>
      <c r="D20" s="23" t="s">
        <v>183</v>
      </c>
      <c r="E20" s="5">
        <v>2.8000000000000001E-2</v>
      </c>
      <c r="F20" s="6">
        <v>247.65</v>
      </c>
      <c r="G20" s="17">
        <f t="shared" si="1"/>
        <v>6.93</v>
      </c>
      <c r="H20" s="22">
        <v>9.4899999999999998E-2</v>
      </c>
      <c r="I20" s="507">
        <f t="shared" si="0"/>
        <v>1.28</v>
      </c>
    </row>
    <row r="21" spans="1:10" s="508" customFormat="1" ht="20.100000000000001" customHeight="1" x14ac:dyDescent="0.2">
      <c r="A21" s="16">
        <v>7</v>
      </c>
      <c r="B21" s="7">
        <v>6880</v>
      </c>
      <c r="C21" s="34" t="s">
        <v>591</v>
      </c>
      <c r="D21" s="23" t="s">
        <v>185</v>
      </c>
      <c r="E21" s="5">
        <v>7.1999999999999995E-2</v>
      </c>
      <c r="F21" s="6">
        <v>78.12</v>
      </c>
      <c r="G21" s="17">
        <f t="shared" si="1"/>
        <v>5.62</v>
      </c>
      <c r="H21" s="22">
        <v>4.6399999999999997E-2</v>
      </c>
      <c r="I21" s="507">
        <f t="shared" si="0"/>
        <v>1.28</v>
      </c>
      <c r="J21" s="508">
        <f>111.18/2</f>
        <v>55.59</v>
      </c>
    </row>
    <row r="22" spans="1:10" s="508" customFormat="1" ht="29.25" customHeight="1" x14ac:dyDescent="0.2">
      <c r="A22" s="16">
        <v>8</v>
      </c>
      <c r="B22" s="7">
        <v>6879</v>
      </c>
      <c r="C22" s="34" t="s">
        <v>592</v>
      </c>
      <c r="D22" s="23" t="s">
        <v>183</v>
      </c>
      <c r="E22" s="5">
        <v>2.8000000000000001E-2</v>
      </c>
      <c r="F22" s="6">
        <v>209.75</v>
      </c>
      <c r="G22" s="17">
        <f t="shared" si="1"/>
        <v>5.87</v>
      </c>
      <c r="H22" s="22">
        <v>8.0500000000000002E-2</v>
      </c>
      <c r="I22" s="507">
        <f t="shared" si="0"/>
        <v>1.28</v>
      </c>
    </row>
    <row r="23" spans="1:10" s="508" customFormat="1" ht="20.100000000000001" customHeight="1" x14ac:dyDescent="0.2">
      <c r="A23" s="16">
        <v>9</v>
      </c>
      <c r="B23" s="7">
        <v>96021</v>
      </c>
      <c r="C23" s="34" t="s">
        <v>593</v>
      </c>
      <c r="D23" s="23" t="s">
        <v>185</v>
      </c>
      <c r="E23" s="5">
        <v>8.5000000000000006E-2</v>
      </c>
      <c r="F23" s="509">
        <v>46.77</v>
      </c>
      <c r="G23" s="17">
        <f t="shared" si="1"/>
        <v>3.98</v>
      </c>
      <c r="H23" s="22">
        <v>6.0699999999999997E-2</v>
      </c>
      <c r="I23" s="507">
        <f t="shared" si="0"/>
        <v>1.28</v>
      </c>
      <c r="J23" s="508">
        <f xml:space="preserve"> 79.89/2</f>
        <v>39.945</v>
      </c>
    </row>
    <row r="24" spans="1:10" s="508" customFormat="1" ht="20.100000000000001" customHeight="1" x14ac:dyDescent="0.2">
      <c r="A24" s="16">
        <v>10</v>
      </c>
      <c r="B24" s="7">
        <v>96020</v>
      </c>
      <c r="C24" s="34" t="s">
        <v>594</v>
      </c>
      <c r="D24" s="23" t="s">
        <v>183</v>
      </c>
      <c r="E24" s="5">
        <v>1.4999999999999999E-2</v>
      </c>
      <c r="F24" s="6">
        <v>182.03</v>
      </c>
      <c r="G24" s="17">
        <f t="shared" si="1"/>
        <v>2.73</v>
      </c>
      <c r="H24" s="22">
        <v>0.1071</v>
      </c>
      <c r="I24" s="507">
        <f t="shared" si="0"/>
        <v>1.28</v>
      </c>
    </row>
    <row r="25" spans="1:10" s="508" customFormat="1" ht="20.100000000000001" customHeight="1" x14ac:dyDescent="0.2">
      <c r="A25" s="16">
        <v>11</v>
      </c>
      <c r="B25" s="7">
        <v>7050</v>
      </c>
      <c r="C25" s="34" t="s">
        <v>595</v>
      </c>
      <c r="D25" s="23" t="s">
        <v>185</v>
      </c>
      <c r="E25" s="5">
        <v>7.4999999999999997E-2</v>
      </c>
      <c r="F25" s="6">
        <v>69.48</v>
      </c>
      <c r="G25" s="17">
        <f t="shared" si="1"/>
        <v>5.21</v>
      </c>
      <c r="H25" s="22">
        <v>3.4099999999999998E-2</v>
      </c>
      <c r="I25" s="507">
        <f t="shared" si="0"/>
        <v>1.28</v>
      </c>
      <c r="J25" s="508">
        <f>102.08/2</f>
        <v>51.04</v>
      </c>
    </row>
    <row r="26" spans="1:10" s="508" customFormat="1" ht="20.100000000000001" customHeight="1" thickBot="1" x14ac:dyDescent="0.25">
      <c r="A26" s="16">
        <v>12</v>
      </c>
      <c r="B26" s="7">
        <v>7049</v>
      </c>
      <c r="C26" s="34" t="s">
        <v>596</v>
      </c>
      <c r="D26" s="23" t="s">
        <v>183</v>
      </c>
      <c r="E26" s="5">
        <v>2.5000000000000001E-2</v>
      </c>
      <c r="F26" s="6">
        <v>224.91</v>
      </c>
      <c r="G26" s="17">
        <f t="shared" si="1"/>
        <v>5.62</v>
      </c>
      <c r="H26" s="22">
        <v>4.19E-2</v>
      </c>
      <c r="I26" s="507">
        <f t="shared" si="0"/>
        <v>1.28</v>
      </c>
    </row>
    <row r="27" spans="1:10" s="33" customFormat="1" ht="20.100000000000001" customHeight="1" thickBot="1" x14ac:dyDescent="0.25">
      <c r="A27" s="973" t="s">
        <v>47</v>
      </c>
      <c r="B27" s="974"/>
      <c r="C27" s="974"/>
      <c r="D27" s="974"/>
      <c r="E27" s="975">
        <f>SUM(G15:G26)</f>
        <v>54.74</v>
      </c>
      <c r="F27" s="975"/>
      <c r="G27" s="976"/>
      <c r="H27" s="21"/>
      <c r="I27" s="30"/>
    </row>
    <row r="28" spans="1:10" s="33" customFormat="1" ht="20.100000000000001" customHeight="1" x14ac:dyDescent="0.2">
      <c r="A28" s="889" t="s">
        <v>48</v>
      </c>
      <c r="B28" s="890"/>
      <c r="C28" s="890"/>
      <c r="D28" s="890"/>
      <c r="E28" s="890"/>
      <c r="F28" s="890"/>
      <c r="G28" s="891"/>
      <c r="H28" s="577"/>
      <c r="I28" s="30"/>
    </row>
    <row r="29" spans="1:10" s="33" customFormat="1" ht="20.100000000000001" customHeight="1" x14ac:dyDescent="0.2">
      <c r="A29" s="18" t="s">
        <v>36</v>
      </c>
      <c r="B29" s="23" t="s">
        <v>306</v>
      </c>
      <c r="C29" s="8" t="s">
        <v>37</v>
      </c>
      <c r="D29" s="23" t="s">
        <v>38</v>
      </c>
      <c r="E29" s="8" t="s">
        <v>160</v>
      </c>
      <c r="F29" s="9" t="s">
        <v>39</v>
      </c>
      <c r="G29" s="19" t="s">
        <v>40</v>
      </c>
      <c r="H29" s="21"/>
      <c r="I29" s="30"/>
    </row>
    <row r="30" spans="1:10" s="508" customFormat="1" ht="37.5" customHeight="1" thickBot="1" x14ac:dyDescent="0.25">
      <c r="A30" s="16">
        <v>1</v>
      </c>
      <c r="B30" s="4" t="s">
        <v>597</v>
      </c>
      <c r="C30" s="20" t="s">
        <v>598</v>
      </c>
      <c r="D30" s="23" t="s">
        <v>0</v>
      </c>
      <c r="E30" s="5">
        <v>1.1499999999999999</v>
      </c>
      <c r="F30" s="6">
        <v>55.69</v>
      </c>
      <c r="G30" s="17">
        <f>ROUND(E30*F30,2)</f>
        <v>64.040000000000006</v>
      </c>
      <c r="H30" s="22">
        <v>0.1875</v>
      </c>
      <c r="I30" s="507">
        <f>$I$8</f>
        <v>1.28</v>
      </c>
    </row>
    <row r="31" spans="1:10" s="33" customFormat="1" ht="20.100000000000001" customHeight="1" thickBot="1" x14ac:dyDescent="0.25">
      <c r="A31" s="973" t="s">
        <v>49</v>
      </c>
      <c r="B31" s="974"/>
      <c r="C31" s="974"/>
      <c r="D31" s="974"/>
      <c r="E31" s="975">
        <f>SUM(G30:G30)</f>
        <v>64.040000000000006</v>
      </c>
      <c r="F31" s="975"/>
      <c r="G31" s="976"/>
      <c r="H31" s="21"/>
      <c r="I31" s="30"/>
    </row>
    <row r="32" spans="1:10" s="33" customFormat="1" ht="20.100000000000001" customHeight="1" x14ac:dyDescent="0.2">
      <c r="A32" s="889" t="s">
        <v>599</v>
      </c>
      <c r="B32" s="890"/>
      <c r="C32" s="890"/>
      <c r="D32" s="890"/>
      <c r="E32" s="890"/>
      <c r="F32" s="890"/>
      <c r="G32" s="891"/>
      <c r="H32" s="577"/>
      <c r="I32" s="30"/>
    </row>
    <row r="33" spans="1:9" s="33" customFormat="1" ht="20.100000000000001" customHeight="1" x14ac:dyDescent="0.2">
      <c r="A33" s="18" t="s">
        <v>36</v>
      </c>
      <c r="B33" s="23" t="s">
        <v>306</v>
      </c>
      <c r="C33" s="8" t="s">
        <v>37</v>
      </c>
      <c r="D33" s="23" t="s">
        <v>38</v>
      </c>
      <c r="E33" s="8" t="s">
        <v>160</v>
      </c>
      <c r="F33" s="9" t="s">
        <v>39</v>
      </c>
      <c r="G33" s="19" t="s">
        <v>40</v>
      </c>
      <c r="H33" s="21"/>
      <c r="I33" s="30"/>
    </row>
    <row r="34" spans="1:9" s="508" customFormat="1" ht="48.75" customHeight="1" x14ac:dyDescent="0.2">
      <c r="A34" s="16">
        <v>1</v>
      </c>
      <c r="B34" s="4" t="s">
        <v>600</v>
      </c>
      <c r="C34" s="20" t="s">
        <v>368</v>
      </c>
      <c r="D34" s="23" t="s">
        <v>0</v>
      </c>
      <c r="E34" s="5">
        <v>1</v>
      </c>
      <c r="F34" s="6">
        <v>6.16</v>
      </c>
      <c r="G34" s="17">
        <f>ROUND(E34*F34,2)</f>
        <v>6.16</v>
      </c>
      <c r="H34" s="22"/>
      <c r="I34" s="507"/>
    </row>
    <row r="35" spans="1:9" s="508" customFormat="1" ht="39.75" customHeight="1" thickBot="1" x14ac:dyDescent="0.25">
      <c r="A35" s="16">
        <v>2</v>
      </c>
      <c r="B35" s="543">
        <v>93591</v>
      </c>
      <c r="C35" s="20" t="s">
        <v>366</v>
      </c>
      <c r="D35" s="23" t="s">
        <v>245</v>
      </c>
      <c r="E35" s="5">
        <v>28</v>
      </c>
      <c r="F35" s="509">
        <v>2.68</v>
      </c>
      <c r="G35" s="17">
        <f>ROUND(E35*F35,2)</f>
        <v>75.040000000000006</v>
      </c>
      <c r="H35" s="22"/>
      <c r="I35" s="510"/>
    </row>
    <row r="36" spans="1:9" s="33" customFormat="1" ht="20.100000000000001" customHeight="1" thickBot="1" x14ac:dyDescent="0.25">
      <c r="A36" s="973" t="s">
        <v>601</v>
      </c>
      <c r="B36" s="974"/>
      <c r="C36" s="974"/>
      <c r="D36" s="974"/>
      <c r="E36" s="975">
        <f>SUM(G34:G35)</f>
        <v>81.2</v>
      </c>
      <c r="F36" s="975"/>
      <c r="G36" s="976"/>
      <c r="H36" s="21"/>
      <c r="I36" s="30"/>
    </row>
    <row r="37" spans="1:9" s="33" customFormat="1" ht="20.100000000000001" customHeight="1" x14ac:dyDescent="0.2">
      <c r="A37" s="978" t="s">
        <v>50</v>
      </c>
      <c r="B37" s="979"/>
      <c r="C37" s="979"/>
      <c r="D37" s="979"/>
      <c r="E37" s="979"/>
      <c r="F37" s="979"/>
      <c r="G37" s="980"/>
      <c r="H37" s="578"/>
      <c r="I37" s="30"/>
    </row>
    <row r="38" spans="1:9" s="33" customFormat="1" ht="20.100000000000001" customHeight="1" x14ac:dyDescent="0.2">
      <c r="A38" s="18" t="s">
        <v>36</v>
      </c>
      <c r="B38" s="23"/>
      <c r="C38" s="23" t="s">
        <v>51</v>
      </c>
      <c r="D38" s="23" t="s">
        <v>40</v>
      </c>
      <c r="E38" s="23"/>
      <c r="F38" s="544"/>
      <c r="G38" s="19"/>
      <c r="H38" s="21"/>
      <c r="I38" s="30"/>
    </row>
    <row r="39" spans="1:9" s="33" customFormat="1" ht="20.100000000000001" customHeight="1" x14ac:dyDescent="0.2">
      <c r="A39" s="18" t="s">
        <v>52</v>
      </c>
      <c r="B39" s="23"/>
      <c r="C39" s="23" t="s">
        <v>53</v>
      </c>
      <c r="D39" s="898" t="s">
        <v>54</v>
      </c>
      <c r="E39" s="898"/>
      <c r="F39" s="898"/>
      <c r="G39" s="19">
        <f>E12</f>
        <v>0.44</v>
      </c>
      <c r="H39" s="21"/>
      <c r="I39" s="30"/>
    </row>
    <row r="40" spans="1:9" s="33" customFormat="1" ht="20.100000000000001" customHeight="1" x14ac:dyDescent="0.2">
      <c r="A40" s="18" t="s">
        <v>55</v>
      </c>
      <c r="B40" s="23"/>
      <c r="C40" s="23" t="s">
        <v>56</v>
      </c>
      <c r="D40" s="898" t="s">
        <v>57</v>
      </c>
      <c r="E40" s="898"/>
      <c r="F40" s="898"/>
      <c r="G40" s="19">
        <f>E27</f>
        <v>54.74</v>
      </c>
      <c r="H40" s="21"/>
      <c r="I40" s="30"/>
    </row>
    <row r="41" spans="1:9" s="33" customFormat="1" ht="20.100000000000001" customHeight="1" x14ac:dyDescent="0.2">
      <c r="A41" s="18" t="s">
        <v>15</v>
      </c>
      <c r="B41" s="23"/>
      <c r="C41" s="23" t="s">
        <v>58</v>
      </c>
      <c r="D41" s="898" t="s">
        <v>59</v>
      </c>
      <c r="E41" s="898"/>
      <c r="F41" s="898"/>
      <c r="G41" s="19">
        <f>E31</f>
        <v>64.040000000000006</v>
      </c>
      <c r="H41" s="21"/>
      <c r="I41" s="30"/>
    </row>
    <row r="42" spans="1:9" s="33" customFormat="1" ht="20.100000000000001" customHeight="1" x14ac:dyDescent="0.2">
      <c r="A42" s="18" t="s">
        <v>9</v>
      </c>
      <c r="B42" s="23"/>
      <c r="C42" s="23" t="s">
        <v>602</v>
      </c>
      <c r="D42" s="898" t="s">
        <v>603</v>
      </c>
      <c r="E42" s="898"/>
      <c r="F42" s="898"/>
      <c r="G42" s="19">
        <f>E36</f>
        <v>81.2</v>
      </c>
      <c r="H42" s="21"/>
      <c r="I42" s="30"/>
    </row>
    <row r="43" spans="1:9" s="33" customFormat="1" ht="20.100000000000001" customHeight="1" x14ac:dyDescent="0.2">
      <c r="A43" s="18" t="s">
        <v>62</v>
      </c>
      <c r="B43" s="23"/>
      <c r="C43" s="10" t="s">
        <v>604</v>
      </c>
      <c r="D43" s="888" t="s">
        <v>61</v>
      </c>
      <c r="E43" s="888"/>
      <c r="F43" s="888"/>
      <c r="G43" s="24">
        <f>G39+G40+G41+G42</f>
        <v>200.42</v>
      </c>
      <c r="H43" s="578">
        <v>596</v>
      </c>
      <c r="I43" s="30"/>
    </row>
    <row r="44" spans="1:9" s="33" customFormat="1" ht="20.100000000000001" customHeight="1" x14ac:dyDescent="0.2">
      <c r="A44" s="18" t="s">
        <v>605</v>
      </c>
      <c r="B44" s="23"/>
      <c r="C44" s="10" t="s">
        <v>606</v>
      </c>
      <c r="D44" s="11" t="s">
        <v>209</v>
      </c>
      <c r="E44" s="12"/>
      <c r="F44" s="259">
        <v>0.27460000000000001</v>
      </c>
      <c r="G44" s="545">
        <f>G43*F44</f>
        <v>55.04</v>
      </c>
      <c r="H44" s="579"/>
      <c r="I44" s="30"/>
    </row>
    <row r="45" spans="1:9" s="33" customFormat="1" ht="20.100000000000001" customHeight="1" thickBot="1" x14ac:dyDescent="0.25">
      <c r="A45" s="580"/>
      <c r="B45" s="581"/>
      <c r="C45" s="581"/>
      <c r="D45" s="977" t="s">
        <v>64</v>
      </c>
      <c r="E45" s="977"/>
      <c r="F45" s="977"/>
      <c r="G45" s="582">
        <f>G43+G44</f>
        <v>255.46</v>
      </c>
      <c r="H45" s="15"/>
      <c r="I45" s="30"/>
    </row>
    <row r="46" spans="1:9" x14ac:dyDescent="0.2">
      <c r="A46" s="13"/>
      <c r="B46" s="13"/>
      <c r="C46" s="13"/>
      <c r="D46" s="14"/>
      <c r="E46" s="14"/>
      <c r="F46" s="14"/>
      <c r="G46" s="15"/>
      <c r="H46" s="15"/>
    </row>
    <row r="47" spans="1:9" x14ac:dyDescent="0.2">
      <c r="A47" s="538"/>
      <c r="B47" s="538"/>
      <c r="C47" s="538"/>
      <c r="D47" s="538"/>
      <c r="E47" s="538"/>
      <c r="F47" s="538"/>
      <c r="G47" s="538"/>
      <c r="H47" s="583"/>
    </row>
    <row r="48" spans="1:9" x14ac:dyDescent="0.2">
      <c r="A48" s="538"/>
      <c r="B48" s="538"/>
      <c r="C48" s="538"/>
      <c r="D48" s="538"/>
      <c r="E48" s="538"/>
      <c r="F48" s="538"/>
      <c r="G48" s="538"/>
      <c r="H48" s="583"/>
    </row>
    <row r="49" spans="1:8" x14ac:dyDescent="0.2">
      <c r="A49" s="538"/>
      <c r="B49" s="538"/>
      <c r="C49" s="538"/>
      <c r="D49" s="538"/>
      <c r="E49" s="538"/>
      <c r="F49" s="538"/>
      <c r="G49" s="538"/>
      <c r="H49" s="583"/>
    </row>
  </sheetData>
  <mergeCells count="25">
    <mergeCell ref="A2:G2"/>
    <mergeCell ref="A3:G3"/>
    <mergeCell ref="A4:G4"/>
    <mergeCell ref="A5:G5"/>
    <mergeCell ref="C6:F6"/>
    <mergeCell ref="A7:G7"/>
    <mergeCell ref="A8:G8"/>
    <mergeCell ref="A12:D12"/>
    <mergeCell ref="E12:G12"/>
    <mergeCell ref="A13:G13"/>
    <mergeCell ref="A27:D27"/>
    <mergeCell ref="E27:G27"/>
    <mergeCell ref="A28:G28"/>
    <mergeCell ref="A31:D31"/>
    <mergeCell ref="E31:G31"/>
    <mergeCell ref="A32:G32"/>
    <mergeCell ref="A36:D36"/>
    <mergeCell ref="E36:G36"/>
    <mergeCell ref="D45:F45"/>
    <mergeCell ref="A37:G37"/>
    <mergeCell ref="D39:F39"/>
    <mergeCell ref="D40:F40"/>
    <mergeCell ref="D41:F41"/>
    <mergeCell ref="D42:F42"/>
    <mergeCell ref="D43:F43"/>
  </mergeCells>
  <pageMargins left="0.511811024" right="0.511811024" top="0.78740157499999996" bottom="0.78740157499999996" header="0.31496062000000002" footer="0.31496062000000002"/>
  <pageSetup paperSize="9" scale="91" orientation="portrait" verticalDpi="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F50"/>
  <sheetViews>
    <sheetView view="pageBreakPreview" zoomScale="60" zoomScaleNormal="70" workbookViewId="0">
      <selection activeCell="A48" sqref="A48:XFD48"/>
    </sheetView>
  </sheetViews>
  <sheetFormatPr defaultRowHeight="18.75" x14ac:dyDescent="0.3"/>
  <cols>
    <col min="1" max="1" width="13.42578125" style="130" customWidth="1"/>
    <col min="2" max="2" width="77.5703125" style="130" customWidth="1"/>
    <col min="3" max="3" width="16.85546875" style="130" customWidth="1"/>
    <col min="4" max="4" width="18.5703125" style="130" customWidth="1"/>
    <col min="5" max="5" width="16.85546875" style="130" customWidth="1"/>
    <col min="6" max="6" width="18.5703125" style="130" customWidth="1"/>
    <col min="7" max="16384" width="9.140625" style="130"/>
  </cols>
  <sheetData>
    <row r="1" spans="1:6" s="128" customFormat="1" ht="20.100000000000001" customHeight="1" x14ac:dyDescent="0.2">
      <c r="A1" s="1003"/>
      <c r="B1" s="1004"/>
      <c r="C1" s="1004"/>
      <c r="D1" s="1004"/>
      <c r="E1" s="1004"/>
      <c r="F1" s="1005"/>
    </row>
    <row r="2" spans="1:6" s="129" customFormat="1" ht="20.100000000000001" customHeight="1" x14ac:dyDescent="0.2">
      <c r="A2" s="1006" t="s">
        <v>19</v>
      </c>
      <c r="B2" s="1007"/>
      <c r="C2" s="1007"/>
      <c r="D2" s="1007"/>
      <c r="E2" s="1007"/>
      <c r="F2" s="1008"/>
    </row>
    <row r="3" spans="1:6" s="129" customFormat="1" ht="20.100000000000001" customHeight="1" x14ac:dyDescent="0.2">
      <c r="A3" s="1009" t="s">
        <v>193</v>
      </c>
      <c r="B3" s="1010"/>
      <c r="C3" s="1010"/>
      <c r="D3" s="1010"/>
      <c r="E3" s="1010"/>
      <c r="F3" s="1011"/>
    </row>
    <row r="4" spans="1:6" s="129" customFormat="1" ht="20.100000000000001" customHeight="1" x14ac:dyDescent="0.2">
      <c r="A4" s="1009" t="s">
        <v>18</v>
      </c>
      <c r="B4" s="1010"/>
      <c r="C4" s="1010"/>
      <c r="D4" s="1010"/>
      <c r="E4" s="1010"/>
      <c r="F4" s="1011"/>
    </row>
    <row r="5" spans="1:6" s="129" customFormat="1" ht="20.100000000000001" customHeight="1" thickBot="1" x14ac:dyDescent="0.25">
      <c r="A5" s="1012"/>
      <c r="B5" s="1013"/>
      <c r="C5" s="1013"/>
      <c r="D5" s="1013"/>
      <c r="E5" s="1013"/>
      <c r="F5" s="1014"/>
    </row>
    <row r="6" spans="1:6" ht="34.5" customHeight="1" thickTop="1" thickBot="1" x14ac:dyDescent="0.35">
      <c r="A6" s="990" t="s">
        <v>298</v>
      </c>
      <c r="B6" s="991"/>
      <c r="C6" s="991"/>
      <c r="D6" s="991"/>
      <c r="E6" s="991"/>
      <c r="F6" s="992"/>
    </row>
    <row r="7" spans="1:6" ht="79.5" customHeight="1" thickTop="1" x14ac:dyDescent="0.3">
      <c r="A7" s="993" t="str">
        <f>'ORÇAMENTO GERAL'!C7</f>
        <v>EXECUÇÃO DOS SERVIÇOS DE DRENAGEM SUPERFICIAL E DRENAGEM PROFUNDA  NA TRAVESSA BEIRA RIO E RUA MOCAJATUBA - NO DISTRITO INDUSTRIAL  NO MUNICÍPIO DE ANANINDEUA (PA).</v>
      </c>
      <c r="B7" s="994"/>
      <c r="C7" s="994"/>
      <c r="D7" s="994"/>
      <c r="E7" s="994"/>
      <c r="F7" s="995"/>
    </row>
    <row r="8" spans="1:6" x14ac:dyDescent="0.3">
      <c r="A8" s="996" t="s">
        <v>69</v>
      </c>
      <c r="B8" s="998" t="s">
        <v>70</v>
      </c>
      <c r="C8" s="1000" t="s">
        <v>299</v>
      </c>
      <c r="D8" s="1001"/>
      <c r="E8" s="1000" t="s">
        <v>300</v>
      </c>
      <c r="F8" s="1002"/>
    </row>
    <row r="9" spans="1:6" s="128" customFormat="1" x14ac:dyDescent="0.2">
      <c r="A9" s="997"/>
      <c r="B9" s="999"/>
      <c r="C9" s="131" t="s">
        <v>71</v>
      </c>
      <c r="D9" s="131" t="s">
        <v>72</v>
      </c>
      <c r="E9" s="131" t="s">
        <v>71</v>
      </c>
      <c r="F9" s="132" t="s">
        <v>72</v>
      </c>
    </row>
    <row r="10" spans="1:6" s="128" customFormat="1" ht="24.75" customHeight="1" x14ac:dyDescent="0.2">
      <c r="A10" s="984" t="s">
        <v>73</v>
      </c>
      <c r="B10" s="985"/>
      <c r="C10" s="985"/>
      <c r="D10" s="986"/>
      <c r="E10" s="133"/>
      <c r="F10" s="134"/>
    </row>
    <row r="11" spans="1:6" s="128" customFormat="1" ht="18" customHeight="1" x14ac:dyDescent="0.2">
      <c r="A11" s="135" t="s">
        <v>74</v>
      </c>
      <c r="B11" s="136" t="s">
        <v>75</v>
      </c>
      <c r="C11" s="137">
        <v>0</v>
      </c>
      <c r="D11" s="137">
        <v>0</v>
      </c>
      <c r="E11" s="137">
        <v>20</v>
      </c>
      <c r="F11" s="138">
        <v>20</v>
      </c>
    </row>
    <row r="12" spans="1:6" s="128" customFormat="1" ht="18" customHeight="1" x14ac:dyDescent="0.2">
      <c r="A12" s="135" t="s">
        <v>76</v>
      </c>
      <c r="B12" s="136" t="s">
        <v>77</v>
      </c>
      <c r="C12" s="137">
        <v>1.5</v>
      </c>
      <c r="D12" s="137">
        <v>1.5</v>
      </c>
      <c r="E12" s="137">
        <v>1.5</v>
      </c>
      <c r="F12" s="138">
        <v>1.5</v>
      </c>
    </row>
    <row r="13" spans="1:6" s="128" customFormat="1" ht="18" customHeight="1" x14ac:dyDescent="0.2">
      <c r="A13" s="135" t="s">
        <v>78</v>
      </c>
      <c r="B13" s="136" t="s">
        <v>79</v>
      </c>
      <c r="C13" s="137">
        <v>1</v>
      </c>
      <c r="D13" s="137">
        <v>1</v>
      </c>
      <c r="E13" s="137">
        <v>1</v>
      </c>
      <c r="F13" s="138">
        <v>1</v>
      </c>
    </row>
    <row r="14" spans="1:6" s="128" customFormat="1" ht="18" customHeight="1" x14ac:dyDescent="0.2">
      <c r="A14" s="135" t="s">
        <v>80</v>
      </c>
      <c r="B14" s="136" t="s">
        <v>81</v>
      </c>
      <c r="C14" s="137">
        <v>0.2</v>
      </c>
      <c r="D14" s="137">
        <v>0.2</v>
      </c>
      <c r="E14" s="137">
        <v>0.2</v>
      </c>
      <c r="F14" s="138">
        <v>0.2</v>
      </c>
    </row>
    <row r="15" spans="1:6" s="128" customFormat="1" ht="18" customHeight="1" x14ac:dyDescent="0.2">
      <c r="A15" s="135" t="s">
        <v>82</v>
      </c>
      <c r="B15" s="136" t="s">
        <v>83</v>
      </c>
      <c r="C15" s="137">
        <v>0.6</v>
      </c>
      <c r="D15" s="137">
        <v>0.6</v>
      </c>
      <c r="E15" s="137">
        <v>0.6</v>
      </c>
      <c r="F15" s="138">
        <v>0.6</v>
      </c>
    </row>
    <row r="16" spans="1:6" s="128" customFormat="1" ht="18" customHeight="1" x14ac:dyDescent="0.2">
      <c r="A16" s="135" t="s">
        <v>84</v>
      </c>
      <c r="B16" s="136" t="s">
        <v>85</v>
      </c>
      <c r="C16" s="137">
        <v>2.5</v>
      </c>
      <c r="D16" s="137">
        <v>2.5</v>
      </c>
      <c r="E16" s="137">
        <v>2.5</v>
      </c>
      <c r="F16" s="138">
        <v>2.5</v>
      </c>
    </row>
    <row r="17" spans="1:6" s="128" customFormat="1" ht="18" customHeight="1" x14ac:dyDescent="0.2">
      <c r="A17" s="135" t="s">
        <v>86</v>
      </c>
      <c r="B17" s="136" t="s">
        <v>87</v>
      </c>
      <c r="C17" s="137">
        <v>3</v>
      </c>
      <c r="D17" s="137">
        <v>3</v>
      </c>
      <c r="E17" s="137">
        <v>3</v>
      </c>
      <c r="F17" s="138">
        <v>3</v>
      </c>
    </row>
    <row r="18" spans="1:6" s="128" customFormat="1" ht="18" customHeight="1" x14ac:dyDescent="0.2">
      <c r="A18" s="135" t="s">
        <v>88</v>
      </c>
      <c r="B18" s="136" t="s">
        <v>89</v>
      </c>
      <c r="C18" s="137">
        <v>8</v>
      </c>
      <c r="D18" s="137">
        <v>8</v>
      </c>
      <c r="E18" s="137">
        <v>8</v>
      </c>
      <c r="F18" s="138">
        <v>8</v>
      </c>
    </row>
    <row r="19" spans="1:6" s="128" customFormat="1" ht="18" customHeight="1" x14ac:dyDescent="0.2">
      <c r="A19" s="135" t="s">
        <v>90</v>
      </c>
      <c r="B19" s="136" t="s">
        <v>91</v>
      </c>
      <c r="C19" s="137">
        <v>0</v>
      </c>
      <c r="D19" s="137">
        <v>0</v>
      </c>
      <c r="E19" s="137">
        <v>0</v>
      </c>
      <c r="F19" s="138">
        <v>0</v>
      </c>
    </row>
    <row r="20" spans="1:6" s="128" customFormat="1" ht="18.75" customHeight="1" x14ac:dyDescent="0.2">
      <c r="A20" s="139" t="s">
        <v>52</v>
      </c>
      <c r="B20" s="140" t="s">
        <v>92</v>
      </c>
      <c r="C20" s="141">
        <f>SUM(C11:C19)</f>
        <v>16.8</v>
      </c>
      <c r="D20" s="141">
        <f>SUM(D11:D19)</f>
        <v>16.8</v>
      </c>
      <c r="E20" s="141">
        <f>SUM(E11:E19)</f>
        <v>36.799999999999997</v>
      </c>
      <c r="F20" s="142">
        <f>SUM(F11:F19)</f>
        <v>36.799999999999997</v>
      </c>
    </row>
    <row r="21" spans="1:6" s="128" customFormat="1" ht="24.75" customHeight="1" x14ac:dyDescent="0.2">
      <c r="A21" s="984" t="s">
        <v>93</v>
      </c>
      <c r="B21" s="985"/>
      <c r="C21" s="985"/>
      <c r="D21" s="986"/>
      <c r="E21" s="133"/>
      <c r="F21" s="134"/>
    </row>
    <row r="22" spans="1:6" s="128" customFormat="1" ht="18" customHeight="1" x14ac:dyDescent="0.2">
      <c r="A22" s="135" t="s">
        <v>94</v>
      </c>
      <c r="B22" s="136" t="s">
        <v>95</v>
      </c>
      <c r="C22" s="137">
        <v>18.11</v>
      </c>
      <c r="D22" s="137">
        <v>0</v>
      </c>
      <c r="E22" s="137">
        <v>18.11</v>
      </c>
      <c r="F22" s="137">
        <v>0</v>
      </c>
    </row>
    <row r="23" spans="1:6" s="128" customFormat="1" ht="18" customHeight="1" x14ac:dyDescent="0.2">
      <c r="A23" s="135" t="s">
        <v>96</v>
      </c>
      <c r="B23" s="136" t="s">
        <v>97</v>
      </c>
      <c r="C23" s="137">
        <v>4.1500000000000004</v>
      </c>
      <c r="D23" s="137">
        <v>0</v>
      </c>
      <c r="E23" s="137">
        <v>4.1500000000000004</v>
      </c>
      <c r="F23" s="137">
        <v>0</v>
      </c>
    </row>
    <row r="24" spans="1:6" s="128" customFormat="1" ht="18" customHeight="1" x14ac:dyDescent="0.2">
      <c r="A24" s="135" t="s">
        <v>98</v>
      </c>
      <c r="B24" s="136" t="s">
        <v>99</v>
      </c>
      <c r="C24" s="137">
        <v>0.89</v>
      </c>
      <c r="D24" s="137">
        <v>0.67</v>
      </c>
      <c r="E24" s="137">
        <v>0.89</v>
      </c>
      <c r="F24" s="137">
        <v>0.67</v>
      </c>
    </row>
    <row r="25" spans="1:6" s="128" customFormat="1" ht="18" customHeight="1" x14ac:dyDescent="0.2">
      <c r="A25" s="135" t="s">
        <v>100</v>
      </c>
      <c r="B25" s="136" t="s">
        <v>101</v>
      </c>
      <c r="C25" s="137">
        <v>10.98</v>
      </c>
      <c r="D25" s="137">
        <v>8.33</v>
      </c>
      <c r="E25" s="137">
        <v>10.98</v>
      </c>
      <c r="F25" s="137">
        <v>8.33</v>
      </c>
    </row>
    <row r="26" spans="1:6" s="128" customFormat="1" ht="18" customHeight="1" x14ac:dyDescent="0.2">
      <c r="A26" s="135" t="s">
        <v>102</v>
      </c>
      <c r="B26" s="136" t="s">
        <v>103</v>
      </c>
      <c r="C26" s="137">
        <v>7.0000000000000007E-2</v>
      </c>
      <c r="D26" s="137">
        <v>0.06</v>
      </c>
      <c r="E26" s="137">
        <v>7.0000000000000007E-2</v>
      </c>
      <c r="F26" s="137">
        <v>0.06</v>
      </c>
    </row>
    <row r="27" spans="1:6" s="128" customFormat="1" ht="18" customHeight="1" x14ac:dyDescent="0.2">
      <c r="A27" s="135" t="s">
        <v>104</v>
      </c>
      <c r="B27" s="136" t="s">
        <v>105</v>
      </c>
      <c r="C27" s="137">
        <v>0.73</v>
      </c>
      <c r="D27" s="137">
        <v>0.56000000000000005</v>
      </c>
      <c r="E27" s="137">
        <v>0.73</v>
      </c>
      <c r="F27" s="137">
        <v>0.56000000000000005</v>
      </c>
    </row>
    <row r="28" spans="1:6" s="128" customFormat="1" ht="18" customHeight="1" x14ac:dyDescent="0.2">
      <c r="A28" s="135" t="s">
        <v>106</v>
      </c>
      <c r="B28" s="136" t="s">
        <v>107</v>
      </c>
      <c r="C28" s="137">
        <v>2.68</v>
      </c>
      <c r="D28" s="137">
        <v>0</v>
      </c>
      <c r="E28" s="137">
        <v>2.68</v>
      </c>
      <c r="F28" s="137">
        <v>0</v>
      </c>
    </row>
    <row r="29" spans="1:6" s="128" customFormat="1" ht="18" customHeight="1" x14ac:dyDescent="0.2">
      <c r="A29" s="135" t="s">
        <v>108</v>
      </c>
      <c r="B29" s="136" t="s">
        <v>109</v>
      </c>
      <c r="C29" s="137">
        <v>0.11</v>
      </c>
      <c r="D29" s="137">
        <v>0.08</v>
      </c>
      <c r="E29" s="137">
        <v>0.11</v>
      </c>
      <c r="F29" s="137">
        <v>0.08</v>
      </c>
    </row>
    <row r="30" spans="1:6" s="128" customFormat="1" ht="18" customHeight="1" x14ac:dyDescent="0.2">
      <c r="A30" s="135" t="s">
        <v>110</v>
      </c>
      <c r="B30" s="136" t="s">
        <v>111</v>
      </c>
      <c r="C30" s="137">
        <v>9.27</v>
      </c>
      <c r="D30" s="137">
        <v>7.03</v>
      </c>
      <c r="E30" s="137">
        <v>9.27</v>
      </c>
      <c r="F30" s="137">
        <v>7.03</v>
      </c>
    </row>
    <row r="31" spans="1:6" s="128" customFormat="1" ht="18" customHeight="1" x14ac:dyDescent="0.2">
      <c r="A31" s="135" t="s">
        <v>112</v>
      </c>
      <c r="B31" s="136" t="s">
        <v>113</v>
      </c>
      <c r="C31" s="137">
        <v>0.03</v>
      </c>
      <c r="D31" s="137">
        <v>0.03</v>
      </c>
      <c r="E31" s="137">
        <v>0.03</v>
      </c>
      <c r="F31" s="137">
        <v>0.03</v>
      </c>
    </row>
    <row r="32" spans="1:6" s="128" customFormat="1" ht="18.75" customHeight="1" x14ac:dyDescent="0.2">
      <c r="A32" s="139" t="s">
        <v>55</v>
      </c>
      <c r="B32" s="140" t="s">
        <v>114</v>
      </c>
      <c r="C32" s="141">
        <f>SUM(C22:C31)</f>
        <v>47.02</v>
      </c>
      <c r="D32" s="141">
        <f>SUM(D22:D31)</f>
        <v>16.760000000000002</v>
      </c>
      <c r="E32" s="141">
        <f>SUM(E22:E31)</f>
        <v>47.02</v>
      </c>
      <c r="F32" s="142">
        <f>SUM(F22:F31)</f>
        <v>16.760000000000002</v>
      </c>
    </row>
    <row r="33" spans="1:6" s="128" customFormat="1" ht="24.75" customHeight="1" x14ac:dyDescent="0.2">
      <c r="A33" s="984" t="s">
        <v>115</v>
      </c>
      <c r="B33" s="985"/>
      <c r="C33" s="985"/>
      <c r="D33" s="986"/>
      <c r="E33" s="133"/>
      <c r="F33" s="134"/>
    </row>
    <row r="34" spans="1:6" s="128" customFormat="1" ht="18" customHeight="1" x14ac:dyDescent="0.2">
      <c r="A34" s="135" t="s">
        <v>116</v>
      </c>
      <c r="B34" s="136" t="s">
        <v>117</v>
      </c>
      <c r="C34" s="137">
        <v>5.69</v>
      </c>
      <c r="D34" s="137">
        <v>4.32</v>
      </c>
      <c r="E34" s="137">
        <v>5.69</v>
      </c>
      <c r="F34" s="137">
        <v>4.32</v>
      </c>
    </row>
    <row r="35" spans="1:6" s="128" customFormat="1" ht="18" customHeight="1" x14ac:dyDescent="0.2">
      <c r="A35" s="135" t="s">
        <v>118</v>
      </c>
      <c r="B35" s="136" t="s">
        <v>119</v>
      </c>
      <c r="C35" s="137">
        <v>0.13</v>
      </c>
      <c r="D35" s="137">
        <v>0.1</v>
      </c>
      <c r="E35" s="137">
        <v>0.13</v>
      </c>
      <c r="F35" s="137">
        <v>0.1</v>
      </c>
    </row>
    <row r="36" spans="1:6" s="128" customFormat="1" ht="18" customHeight="1" x14ac:dyDescent="0.2">
      <c r="A36" s="135" t="s">
        <v>120</v>
      </c>
      <c r="B36" s="136" t="s">
        <v>121</v>
      </c>
      <c r="C36" s="137">
        <v>4.47</v>
      </c>
      <c r="D36" s="137">
        <v>3.39</v>
      </c>
      <c r="E36" s="137">
        <v>4.47</v>
      </c>
      <c r="F36" s="137">
        <v>3.39</v>
      </c>
    </row>
    <row r="37" spans="1:6" s="128" customFormat="1" ht="18" customHeight="1" x14ac:dyDescent="0.2">
      <c r="A37" s="135" t="s">
        <v>122</v>
      </c>
      <c r="B37" s="136" t="s">
        <v>123</v>
      </c>
      <c r="C37" s="137">
        <v>3.93</v>
      </c>
      <c r="D37" s="137">
        <v>2.98</v>
      </c>
      <c r="E37" s="137">
        <v>3.93</v>
      </c>
      <c r="F37" s="137">
        <v>2.98</v>
      </c>
    </row>
    <row r="38" spans="1:6" s="128" customFormat="1" ht="18" customHeight="1" x14ac:dyDescent="0.2">
      <c r="A38" s="135" t="s">
        <v>124</v>
      </c>
      <c r="B38" s="136" t="s">
        <v>125</v>
      </c>
      <c r="C38" s="137">
        <v>0.48</v>
      </c>
      <c r="D38" s="137">
        <v>0.36</v>
      </c>
      <c r="E38" s="137">
        <v>0.48</v>
      </c>
      <c r="F38" s="137">
        <v>0.36</v>
      </c>
    </row>
    <row r="39" spans="1:6" s="128" customFormat="1" ht="18.75" customHeight="1" x14ac:dyDescent="0.2">
      <c r="A39" s="139" t="s">
        <v>15</v>
      </c>
      <c r="B39" s="140" t="s">
        <v>126</v>
      </c>
      <c r="C39" s="141">
        <f>SUM(C34:C38)</f>
        <v>14.7</v>
      </c>
      <c r="D39" s="141">
        <f>SUM(D34:D38)</f>
        <v>11.15</v>
      </c>
      <c r="E39" s="141">
        <f>SUM(E34:E38)</f>
        <v>14.7</v>
      </c>
      <c r="F39" s="142">
        <f>SUM(F34:F38)</f>
        <v>11.15</v>
      </c>
    </row>
    <row r="40" spans="1:6" s="128" customFormat="1" ht="24.75" customHeight="1" x14ac:dyDescent="0.2">
      <c r="A40" s="984" t="s">
        <v>127</v>
      </c>
      <c r="B40" s="985"/>
      <c r="C40" s="985"/>
      <c r="D40" s="986"/>
      <c r="E40" s="133"/>
      <c r="F40" s="134"/>
    </row>
    <row r="41" spans="1:6" s="128" customFormat="1" ht="18" customHeight="1" x14ac:dyDescent="0.2">
      <c r="A41" s="135" t="s">
        <v>128</v>
      </c>
      <c r="B41" s="136" t="s">
        <v>129</v>
      </c>
      <c r="C41" s="137">
        <v>7.9</v>
      </c>
      <c r="D41" s="137">
        <v>2.82</v>
      </c>
      <c r="E41" s="137">
        <v>17.3</v>
      </c>
      <c r="F41" s="138">
        <v>6.17</v>
      </c>
    </row>
    <row r="42" spans="1:6" s="128" customFormat="1" ht="37.5" x14ac:dyDescent="0.2">
      <c r="A42" s="135" t="s">
        <v>130</v>
      </c>
      <c r="B42" s="143" t="s">
        <v>131</v>
      </c>
      <c r="C42" s="144">
        <v>0.48</v>
      </c>
      <c r="D42" s="144">
        <v>0.36</v>
      </c>
      <c r="E42" s="144">
        <v>0.5</v>
      </c>
      <c r="F42" s="145">
        <v>0.38</v>
      </c>
    </row>
    <row r="43" spans="1:6" s="128" customFormat="1" ht="18.75" customHeight="1" thickBot="1" x14ac:dyDescent="0.25">
      <c r="A43" s="146" t="s">
        <v>9</v>
      </c>
      <c r="B43" s="147" t="s">
        <v>132</v>
      </c>
      <c r="C43" s="148">
        <f>SUM(C41:C42)</f>
        <v>8.3800000000000008</v>
      </c>
      <c r="D43" s="148">
        <f>SUM(D41:D42)</f>
        <v>3.18</v>
      </c>
      <c r="E43" s="148">
        <f>SUM(E41:E42)</f>
        <v>17.8</v>
      </c>
      <c r="F43" s="149">
        <f>SUM(F41:F42)</f>
        <v>6.55</v>
      </c>
    </row>
    <row r="44" spans="1:6" s="128" customFormat="1" ht="24.75" hidden="1" customHeight="1" x14ac:dyDescent="0.2">
      <c r="A44" s="987" t="s">
        <v>133</v>
      </c>
      <c r="B44" s="988"/>
      <c r="C44" s="988"/>
      <c r="D44" s="989"/>
      <c r="E44" s="133"/>
      <c r="F44" s="134"/>
    </row>
    <row r="45" spans="1:6" s="128" customFormat="1" hidden="1" x14ac:dyDescent="0.2">
      <c r="A45" s="135" t="s">
        <v>134</v>
      </c>
      <c r="B45" s="136"/>
      <c r="C45" s="136"/>
      <c r="D45" s="136"/>
      <c r="E45" s="136"/>
      <c r="F45" s="150"/>
    </row>
    <row r="46" spans="1:6" s="128" customFormat="1" ht="18.75" hidden="1" customHeight="1" x14ac:dyDescent="0.2">
      <c r="A46" s="139" t="s">
        <v>62</v>
      </c>
      <c r="B46" s="140" t="s">
        <v>135</v>
      </c>
      <c r="C46" s="141">
        <v>0</v>
      </c>
      <c r="D46" s="141">
        <v>0</v>
      </c>
      <c r="E46" s="141">
        <v>0</v>
      </c>
      <c r="F46" s="142">
        <v>0</v>
      </c>
    </row>
    <row r="47" spans="1:6" s="128" customFormat="1" ht="26.25" customHeight="1" thickBot="1" x14ac:dyDescent="0.25">
      <c r="A47" s="981" t="s">
        <v>301</v>
      </c>
      <c r="B47" s="982"/>
      <c r="C47" s="151">
        <f>(C20+C32+C39+C43)</f>
        <v>86.9</v>
      </c>
      <c r="D47" s="151">
        <f>D20+D32+D39+D43</f>
        <v>47.89</v>
      </c>
      <c r="E47" s="151">
        <f>(E20+E32+E39+E43)</f>
        <v>116.32</v>
      </c>
      <c r="F47" s="152">
        <f>F20+F32+F39+F43</f>
        <v>71.260000000000005</v>
      </c>
    </row>
    <row r="48" spans="1:6" s="128" customFormat="1" ht="18.75" hidden="1" customHeight="1" x14ac:dyDescent="0.2">
      <c r="A48" s="983"/>
      <c r="B48" s="983"/>
      <c r="C48" s="983"/>
      <c r="D48" s="983"/>
    </row>
    <row r="49" spans="1:1" s="128" customFormat="1" x14ac:dyDescent="0.2"/>
    <row r="50" spans="1:1" s="128" customFormat="1" ht="21" customHeight="1" x14ac:dyDescent="0.2">
      <c r="A50" s="128" t="s">
        <v>136</v>
      </c>
    </row>
  </sheetData>
  <mergeCells count="18">
    <mergeCell ref="A1:F1"/>
    <mergeCell ref="A2:F2"/>
    <mergeCell ref="A3:F3"/>
    <mergeCell ref="A4:F4"/>
    <mergeCell ref="A5:F5"/>
    <mergeCell ref="A6:F6"/>
    <mergeCell ref="A7:F7"/>
    <mergeCell ref="A8:A9"/>
    <mergeCell ref="B8:B9"/>
    <mergeCell ref="C8:D8"/>
    <mergeCell ref="E8:F8"/>
    <mergeCell ref="A47:B47"/>
    <mergeCell ref="A48:D48"/>
    <mergeCell ref="A10:D10"/>
    <mergeCell ref="A21:D21"/>
    <mergeCell ref="A33:D33"/>
    <mergeCell ref="A40:D40"/>
    <mergeCell ref="A44:D44"/>
  </mergeCells>
  <printOptions horizontalCentered="1"/>
  <pageMargins left="0.51181102362204722" right="0.51181102362204722" top="0.78740157480314965" bottom="0.78740157480314965" header="0.31496062992125984" footer="0.31496062992125984"/>
  <pageSetup paperSize="9" scale="58" orientation="portrait"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50"/>
  <sheetViews>
    <sheetView tabSelected="1" view="pageBreakPreview" zoomScale="60" zoomScaleNormal="100" workbookViewId="0">
      <selection activeCell="Q38" sqref="Q38"/>
    </sheetView>
  </sheetViews>
  <sheetFormatPr defaultRowHeight="12.75" x14ac:dyDescent="0.2"/>
  <cols>
    <col min="1" max="1" width="21.5703125" style="124" customWidth="1"/>
    <col min="2" max="7" width="15.7109375" style="124" customWidth="1"/>
    <col min="8" max="8" width="26.140625" style="124" bestFit="1" customWidth="1"/>
    <col min="9" max="16384" width="9.140625" style="124"/>
  </cols>
  <sheetData>
    <row r="1" spans="1:9" ht="13.5" customHeight="1" x14ac:dyDescent="0.2">
      <c r="A1" s="1025"/>
      <c r="B1" s="1026"/>
      <c r="C1" s="1026"/>
      <c r="D1" s="1026"/>
      <c r="E1" s="1026"/>
      <c r="F1" s="1026"/>
      <c r="G1" s="1026"/>
      <c r="H1" s="1027"/>
      <c r="I1" s="153"/>
    </row>
    <row r="2" spans="1:9" ht="13.5" customHeight="1" x14ac:dyDescent="0.2">
      <c r="A2" s="121"/>
      <c r="B2" s="154"/>
      <c r="C2" s="154"/>
      <c r="D2" s="154"/>
      <c r="E2" s="154"/>
      <c r="F2" s="154"/>
      <c r="G2" s="154"/>
      <c r="H2" s="122"/>
      <c r="I2" s="155"/>
    </row>
    <row r="3" spans="1:9" ht="13.5" customHeight="1" x14ac:dyDescent="0.2">
      <c r="A3" s="1028" t="s">
        <v>19</v>
      </c>
      <c r="B3" s="1029"/>
      <c r="C3" s="1029"/>
      <c r="D3" s="1029"/>
      <c r="E3" s="1029"/>
      <c r="F3" s="1029"/>
      <c r="G3" s="1029"/>
      <c r="H3" s="1030"/>
      <c r="I3" s="156"/>
    </row>
    <row r="4" spans="1:9" ht="13.5" customHeight="1" x14ac:dyDescent="0.25">
      <c r="A4" s="1031" t="s">
        <v>302</v>
      </c>
      <c r="B4" s="1032"/>
      <c r="C4" s="1032"/>
      <c r="D4" s="1032"/>
      <c r="E4" s="1032"/>
      <c r="F4" s="1032"/>
      <c r="G4" s="1032"/>
      <c r="H4" s="1033"/>
      <c r="I4" s="157"/>
    </row>
    <row r="5" spans="1:9" ht="13.5" customHeight="1" x14ac:dyDescent="0.2">
      <c r="A5" s="1031" t="s">
        <v>18</v>
      </c>
      <c r="B5" s="1032"/>
      <c r="C5" s="1032"/>
      <c r="D5" s="1032"/>
      <c r="E5" s="1032"/>
      <c r="F5" s="1032"/>
      <c r="G5" s="1032"/>
      <c r="H5" s="1033"/>
      <c r="I5" s="158"/>
    </row>
    <row r="6" spans="1:9" s="1" customFormat="1" ht="13.5" customHeight="1" thickBot="1" x14ac:dyDescent="0.25">
      <c r="A6" s="123"/>
      <c r="B6" s="1034"/>
      <c r="C6" s="1034"/>
      <c r="D6" s="1034"/>
      <c r="E6" s="1035"/>
      <c r="F6" s="1035"/>
      <c r="G6" s="1035"/>
      <c r="H6" s="1036"/>
      <c r="I6" s="159"/>
    </row>
    <row r="7" spans="1:9" ht="34.5" customHeight="1" thickTop="1" thickBot="1" x14ac:dyDescent="0.25">
      <c r="A7" s="1015" t="s">
        <v>137</v>
      </c>
      <c r="B7" s="1016"/>
      <c r="C7" s="1016"/>
      <c r="D7" s="1016"/>
      <c r="E7" s="1016"/>
      <c r="F7" s="1016"/>
      <c r="G7" s="1016"/>
      <c r="H7" s="1017"/>
    </row>
    <row r="8" spans="1:9" ht="66" customHeight="1" thickTop="1" x14ac:dyDescent="0.2">
      <c r="A8" s="1018" t="str">
        <f>'ORÇAMENTO GERAL'!C7</f>
        <v>EXECUÇÃO DOS SERVIÇOS DE DRENAGEM SUPERFICIAL E DRENAGEM PROFUNDA  NA TRAVESSA BEIRA RIO E RUA MOCAJATUBA - NO DISTRITO INDUSTRIAL  NO MUNICÍPIO DE ANANINDEUA (PA).</v>
      </c>
      <c r="B8" s="1019"/>
      <c r="C8" s="1019"/>
      <c r="D8" s="1019"/>
      <c r="E8" s="1019"/>
      <c r="F8" s="1019"/>
      <c r="G8" s="1019"/>
      <c r="H8" s="1020"/>
    </row>
    <row r="9" spans="1:9" ht="57" thickBot="1" x14ac:dyDescent="0.25">
      <c r="A9" s="161"/>
      <c r="B9" s="162"/>
      <c r="C9" s="162"/>
      <c r="D9" s="162"/>
      <c r="E9" s="162"/>
      <c r="F9" s="162"/>
      <c r="G9" s="163"/>
      <c r="H9" s="164" t="s">
        <v>265</v>
      </c>
    </row>
    <row r="10" spans="1:9" s="160" customFormat="1" ht="20.100000000000001" customHeight="1" x14ac:dyDescent="0.2">
      <c r="A10" s="165"/>
      <c r="B10" s="166" t="s">
        <v>266</v>
      </c>
      <c r="C10" s="167"/>
      <c r="D10" s="167"/>
      <c r="E10" s="167"/>
      <c r="F10" s="167"/>
      <c r="G10" s="168"/>
      <c r="H10" s="169">
        <v>4.01</v>
      </c>
    </row>
    <row r="11" spans="1:9" s="160" customFormat="1" ht="20.100000000000001" customHeight="1" x14ac:dyDescent="0.2">
      <c r="A11" s="170"/>
      <c r="B11" s="171" t="s">
        <v>267</v>
      </c>
      <c r="C11" s="172"/>
      <c r="D11" s="172"/>
      <c r="E11" s="172"/>
      <c r="F11" s="172"/>
      <c r="G11" s="173"/>
      <c r="H11" s="174">
        <v>1.1100000000000001</v>
      </c>
    </row>
    <row r="12" spans="1:9" s="160" customFormat="1" ht="20.100000000000001" customHeight="1" thickBot="1" x14ac:dyDescent="0.25">
      <c r="A12" s="175" t="s">
        <v>268</v>
      </c>
      <c r="B12" s="176"/>
      <c r="C12" s="176"/>
      <c r="D12" s="176"/>
      <c r="E12" s="176"/>
      <c r="F12" s="176"/>
      <c r="G12" s="177"/>
      <c r="H12" s="178">
        <f>H10+H11</f>
        <v>5.12</v>
      </c>
    </row>
    <row r="13" spans="1:9" s="160" customFormat="1" ht="20.100000000000001" customHeight="1" x14ac:dyDescent="0.2">
      <c r="A13" s="179" t="s">
        <v>140</v>
      </c>
      <c r="B13" s="167"/>
      <c r="C13" s="167"/>
      <c r="D13" s="167"/>
      <c r="E13" s="167"/>
      <c r="F13" s="167"/>
      <c r="G13" s="168"/>
      <c r="H13" s="169"/>
    </row>
    <row r="14" spans="1:9" s="160" customFormat="1" ht="20.100000000000001" customHeight="1" x14ac:dyDescent="0.2">
      <c r="A14" s="180" t="s">
        <v>269</v>
      </c>
      <c r="B14" s="181" t="s">
        <v>270</v>
      </c>
      <c r="C14" s="182"/>
      <c r="D14" s="182"/>
      <c r="E14" s="182"/>
      <c r="F14" s="182"/>
      <c r="G14" s="183"/>
      <c r="H14" s="174">
        <v>0.56000000000000005</v>
      </c>
    </row>
    <row r="15" spans="1:9" s="160" customFormat="1" ht="20.100000000000001" customHeight="1" x14ac:dyDescent="0.2">
      <c r="A15" s="180" t="s">
        <v>271</v>
      </c>
      <c r="B15" s="181" t="s">
        <v>272</v>
      </c>
      <c r="C15" s="182"/>
      <c r="D15" s="182"/>
      <c r="E15" s="182"/>
      <c r="F15" s="182"/>
      <c r="G15" s="183"/>
      <c r="H15" s="174">
        <v>0.4</v>
      </c>
    </row>
    <row r="16" spans="1:9" s="160" customFormat="1" ht="20.100000000000001" customHeight="1" x14ac:dyDescent="0.2">
      <c r="A16" s="184" t="s">
        <v>268</v>
      </c>
      <c r="B16" s="185"/>
      <c r="C16" s="185"/>
      <c r="D16" s="185"/>
      <c r="E16" s="185"/>
      <c r="F16" s="185"/>
      <c r="G16" s="186"/>
      <c r="H16" s="187">
        <f>H14+H15</f>
        <v>0.96</v>
      </c>
    </row>
    <row r="17" spans="1:8" s="160" customFormat="1" ht="20.100000000000001" customHeight="1" x14ac:dyDescent="0.2">
      <c r="A17" s="188" t="s">
        <v>138</v>
      </c>
      <c r="B17" s="182"/>
      <c r="C17" s="182"/>
      <c r="D17" s="182"/>
      <c r="E17" s="182"/>
      <c r="F17" s="182"/>
      <c r="G17" s="183"/>
      <c r="H17" s="189" t="s">
        <v>139</v>
      </c>
    </row>
    <row r="18" spans="1:8" s="160" customFormat="1" ht="20.100000000000001" customHeight="1" x14ac:dyDescent="0.2">
      <c r="A18" s="190" t="s">
        <v>273</v>
      </c>
      <c r="B18" s="191" t="s">
        <v>141</v>
      </c>
      <c r="C18" s="185"/>
      <c r="D18" s="185"/>
      <c r="E18" s="185"/>
      <c r="F18" s="185"/>
      <c r="G18" s="186"/>
      <c r="H18" s="187">
        <f>H19+H20</f>
        <v>10.65</v>
      </c>
    </row>
    <row r="19" spans="1:8" s="160" customFormat="1" ht="20.100000000000001" customHeight="1" x14ac:dyDescent="0.2">
      <c r="A19" s="170" t="s">
        <v>142</v>
      </c>
      <c r="B19" s="181" t="s">
        <v>143</v>
      </c>
      <c r="C19" s="182"/>
      <c r="D19" s="182"/>
      <c r="E19" s="182"/>
      <c r="F19" s="182"/>
      <c r="G19" s="183"/>
      <c r="H19" s="174">
        <f>H25</f>
        <v>8.15</v>
      </c>
    </row>
    <row r="20" spans="1:8" s="160" customFormat="1" ht="20.100000000000001" customHeight="1" x14ac:dyDescent="0.2">
      <c r="A20" s="170" t="s">
        <v>144</v>
      </c>
      <c r="B20" s="181" t="s">
        <v>145</v>
      </c>
      <c r="C20" s="182"/>
      <c r="D20" s="182"/>
      <c r="E20" s="182"/>
      <c r="F20" s="182"/>
      <c r="G20" s="183"/>
      <c r="H20" s="174">
        <v>2.5</v>
      </c>
    </row>
    <row r="21" spans="1:8" s="160" customFormat="1" ht="20.100000000000001" customHeight="1" x14ac:dyDescent="0.2">
      <c r="A21" s="192" t="s">
        <v>184</v>
      </c>
      <c r="B21" s="191" t="s">
        <v>274</v>
      </c>
      <c r="C21" s="185"/>
      <c r="D21" s="185"/>
      <c r="E21" s="185"/>
      <c r="F21" s="185"/>
      <c r="G21" s="186"/>
      <c r="H21" s="187">
        <v>7.3</v>
      </c>
    </row>
    <row r="22" spans="1:8" s="160" customFormat="1" ht="20.100000000000001" customHeight="1" x14ac:dyDescent="0.2">
      <c r="A22" s="193"/>
      <c r="B22" s="194"/>
      <c r="C22" s="194"/>
      <c r="D22" s="194"/>
      <c r="E22" s="194"/>
      <c r="F22" s="194"/>
      <c r="G22" s="194"/>
      <c r="H22" s="195"/>
    </row>
    <row r="23" spans="1:8" s="160" customFormat="1" ht="20.100000000000001" customHeight="1" x14ac:dyDescent="0.2">
      <c r="A23" s="196"/>
      <c r="B23" s="36"/>
      <c r="C23" s="36"/>
      <c r="D23" s="36"/>
      <c r="E23" s="36"/>
      <c r="F23" s="36"/>
      <c r="G23" s="36"/>
      <c r="H23" s="197"/>
    </row>
    <row r="24" spans="1:8" s="160" customFormat="1" ht="20.100000000000001" customHeight="1" thickBot="1" x14ac:dyDescent="0.25">
      <c r="A24" s="198" t="s">
        <v>275</v>
      </c>
      <c r="B24" s="199"/>
      <c r="C24" s="199"/>
      <c r="D24" s="199"/>
      <c r="E24" s="199"/>
      <c r="F24" s="199"/>
      <c r="G24" s="199"/>
      <c r="H24" s="200"/>
    </row>
    <row r="25" spans="1:8" s="160" customFormat="1" ht="20.100000000000001" customHeight="1" x14ac:dyDescent="0.2">
      <c r="A25" s="165" t="s">
        <v>142</v>
      </c>
      <c r="B25" s="166" t="s">
        <v>143</v>
      </c>
      <c r="C25" s="167"/>
      <c r="D25" s="167"/>
      <c r="E25" s="167"/>
      <c r="F25" s="167"/>
      <c r="G25" s="168"/>
      <c r="H25" s="201">
        <f>H26+H27+H28</f>
        <v>8.15</v>
      </c>
    </row>
    <row r="26" spans="1:8" s="160" customFormat="1" ht="20.100000000000001" customHeight="1" x14ac:dyDescent="0.2">
      <c r="A26" s="170" t="s">
        <v>146</v>
      </c>
      <c r="B26" s="181" t="s">
        <v>147</v>
      </c>
      <c r="C26" s="182"/>
      <c r="D26" s="182"/>
      <c r="E26" s="182"/>
      <c r="F26" s="182"/>
      <c r="G26" s="183"/>
      <c r="H26" s="202">
        <v>0.65</v>
      </c>
    </row>
    <row r="27" spans="1:8" s="160" customFormat="1" ht="20.100000000000001" customHeight="1" x14ac:dyDescent="0.2">
      <c r="A27" s="170" t="s">
        <v>148</v>
      </c>
      <c r="B27" s="181" t="s">
        <v>149</v>
      </c>
      <c r="C27" s="182"/>
      <c r="D27" s="182"/>
      <c r="E27" s="182"/>
      <c r="F27" s="182"/>
      <c r="G27" s="183"/>
      <c r="H27" s="202">
        <v>3</v>
      </c>
    </row>
    <row r="28" spans="1:8" s="160" customFormat="1" ht="20.100000000000001" customHeight="1" thickBot="1" x14ac:dyDescent="0.25">
      <c r="A28" s="203" t="s">
        <v>276</v>
      </c>
      <c r="B28" s="204" t="s">
        <v>277</v>
      </c>
      <c r="C28" s="205"/>
      <c r="D28" s="205"/>
      <c r="E28" s="205"/>
      <c r="F28" s="205"/>
      <c r="G28" s="206"/>
      <c r="H28" s="207">
        <v>4.5</v>
      </c>
    </row>
    <row r="29" spans="1:8" s="160" customFormat="1" ht="20.100000000000001" customHeight="1" thickBot="1" x14ac:dyDescent="0.25">
      <c r="A29" s="208" t="s">
        <v>278</v>
      </c>
      <c r="B29" s="209"/>
      <c r="C29" s="209"/>
      <c r="D29" s="209"/>
      <c r="E29" s="209"/>
      <c r="F29" s="209"/>
      <c r="G29" s="209"/>
      <c r="H29" s="210"/>
    </row>
    <row r="30" spans="1:8" s="160" customFormat="1" ht="20.100000000000001" customHeight="1" x14ac:dyDescent="0.2">
      <c r="A30" s="165" t="s">
        <v>144</v>
      </c>
      <c r="B30" s="166" t="s">
        <v>150</v>
      </c>
      <c r="C30" s="167"/>
      <c r="D30" s="167"/>
      <c r="E30" s="167"/>
      <c r="F30" s="167"/>
      <c r="G30" s="168"/>
      <c r="H30" s="201">
        <f>H31</f>
        <v>2.5</v>
      </c>
    </row>
    <row r="31" spans="1:8" s="160" customFormat="1" ht="20.100000000000001" customHeight="1" thickBot="1" x14ac:dyDescent="0.25">
      <c r="A31" s="211" t="s">
        <v>151</v>
      </c>
      <c r="B31" s="204" t="s">
        <v>147</v>
      </c>
      <c r="C31" s="205"/>
      <c r="D31" s="205"/>
      <c r="E31" s="205"/>
      <c r="F31" s="205"/>
      <c r="G31" s="206"/>
      <c r="H31" s="212">
        <v>2.5</v>
      </c>
    </row>
    <row r="32" spans="1:8" ht="18.75" x14ac:dyDescent="0.3">
      <c r="A32" s="213"/>
      <c r="B32" s="214"/>
      <c r="C32" s="214"/>
      <c r="D32" s="214"/>
      <c r="E32" s="214"/>
      <c r="F32" s="214"/>
      <c r="G32" s="214"/>
      <c r="H32" s="215"/>
    </row>
    <row r="33" spans="1:8" ht="18.75" x14ac:dyDescent="0.3">
      <c r="A33" s="213"/>
      <c r="B33" s="214"/>
      <c r="C33" s="214"/>
      <c r="D33" s="214"/>
      <c r="E33" s="214"/>
      <c r="F33" s="214"/>
      <c r="G33" s="214"/>
      <c r="H33" s="215"/>
    </row>
    <row r="34" spans="1:8" ht="20.100000000000001" customHeight="1" x14ac:dyDescent="0.2">
      <c r="A34" s="216" t="s">
        <v>279</v>
      </c>
      <c r="B34" s="217"/>
      <c r="C34" s="217"/>
      <c r="D34" s="217"/>
      <c r="E34" s="217"/>
      <c r="F34" s="217"/>
      <c r="G34" s="217"/>
      <c r="H34" s="218"/>
    </row>
    <row r="35" spans="1:8" ht="20.100000000000001" customHeight="1" x14ac:dyDescent="0.3">
      <c r="A35" s="213" t="s">
        <v>280</v>
      </c>
      <c r="B35" s="214"/>
      <c r="C35" s="219">
        <f>H10/100</f>
        <v>4.0099999999999997E-2</v>
      </c>
      <c r="D35" s="214"/>
      <c r="E35" s="214"/>
      <c r="F35" s="214" t="s">
        <v>280</v>
      </c>
      <c r="G35" s="214"/>
      <c r="H35" s="220">
        <f>C35</f>
        <v>4.0099999999999997E-2</v>
      </c>
    </row>
    <row r="36" spans="1:8" ht="20.100000000000001" customHeight="1" x14ac:dyDescent="0.3">
      <c r="A36" s="213" t="s">
        <v>281</v>
      </c>
      <c r="B36" s="214"/>
      <c r="C36" s="219">
        <f>H15/100</f>
        <v>4.0000000000000001E-3</v>
      </c>
      <c r="D36" s="214"/>
      <c r="E36" s="214"/>
      <c r="F36" s="214" t="s">
        <v>281</v>
      </c>
      <c r="G36" s="214"/>
      <c r="H36" s="220">
        <f>C36</f>
        <v>4.0000000000000001E-3</v>
      </c>
    </row>
    <row r="37" spans="1:8" ht="20.100000000000001" customHeight="1" x14ac:dyDescent="0.3">
      <c r="A37" s="213" t="s">
        <v>282</v>
      </c>
      <c r="B37" s="214"/>
      <c r="C37" s="219">
        <f>H14/100</f>
        <v>5.5999999999999999E-3</v>
      </c>
      <c r="D37" s="214"/>
      <c r="E37" s="214"/>
      <c r="F37" s="214" t="s">
        <v>282</v>
      </c>
      <c r="G37" s="214"/>
      <c r="H37" s="220">
        <f>C37</f>
        <v>5.5999999999999999E-3</v>
      </c>
    </row>
    <row r="38" spans="1:8" ht="20.100000000000001" customHeight="1" x14ac:dyDescent="0.3">
      <c r="A38" s="213" t="s">
        <v>283</v>
      </c>
      <c r="B38" s="214"/>
      <c r="C38" s="221">
        <f>1+C35+C36+C37</f>
        <v>1.0497000000000001</v>
      </c>
      <c r="D38" s="214"/>
      <c r="E38" s="214"/>
      <c r="F38" s="214" t="s">
        <v>283</v>
      </c>
      <c r="G38" s="214"/>
      <c r="H38" s="222">
        <f>1+H35+H36+H37</f>
        <v>1.0497000000000001</v>
      </c>
    </row>
    <row r="39" spans="1:8" ht="20.100000000000001" customHeight="1" x14ac:dyDescent="0.3">
      <c r="A39" s="213" t="s">
        <v>284</v>
      </c>
      <c r="B39" s="214"/>
      <c r="C39" s="219">
        <f>H11/100</f>
        <v>1.11E-2</v>
      </c>
      <c r="D39" s="214"/>
      <c r="E39" s="214"/>
      <c r="F39" s="214" t="s">
        <v>284</v>
      </c>
      <c r="G39" s="214"/>
      <c r="H39" s="220">
        <f>C39</f>
        <v>1.11E-2</v>
      </c>
    </row>
    <row r="40" spans="1:8" ht="20.100000000000001" customHeight="1" x14ac:dyDescent="0.3">
      <c r="A40" s="213" t="s">
        <v>285</v>
      </c>
      <c r="B40" s="214"/>
      <c r="C40" s="221">
        <f>1+C39</f>
        <v>1.0111000000000001</v>
      </c>
      <c r="D40" s="214"/>
      <c r="E40" s="214"/>
      <c r="F40" s="214" t="s">
        <v>285</v>
      </c>
      <c r="G40" s="214"/>
      <c r="H40" s="222">
        <f>1+H39</f>
        <v>1.0111000000000001</v>
      </c>
    </row>
    <row r="41" spans="1:8" ht="20.100000000000001" customHeight="1" x14ac:dyDescent="0.3">
      <c r="A41" s="213" t="s">
        <v>237</v>
      </c>
      <c r="B41" s="214"/>
      <c r="C41" s="219">
        <f>H21/100</f>
        <v>7.2999999999999995E-2</v>
      </c>
      <c r="D41" s="214"/>
      <c r="E41" s="214"/>
      <c r="F41" s="214" t="s">
        <v>237</v>
      </c>
      <c r="G41" s="214"/>
      <c r="H41" s="220">
        <f>C41</f>
        <v>7.2999999999999995E-2</v>
      </c>
    </row>
    <row r="42" spans="1:8" ht="20.100000000000001" customHeight="1" x14ac:dyDescent="0.3">
      <c r="A42" s="213" t="s">
        <v>286</v>
      </c>
      <c r="B42" s="214"/>
      <c r="C42" s="221">
        <f>1+C41</f>
        <v>1.073</v>
      </c>
      <c r="D42" s="214"/>
      <c r="E42" s="214"/>
      <c r="F42" s="214" t="s">
        <v>286</v>
      </c>
      <c r="G42" s="214"/>
      <c r="H42" s="222">
        <f>1+H41</f>
        <v>1.073</v>
      </c>
    </row>
    <row r="43" spans="1:8" ht="20.100000000000001" customHeight="1" x14ac:dyDescent="0.3">
      <c r="A43" s="213"/>
      <c r="B43" s="214"/>
      <c r="C43" s="214"/>
      <c r="D43" s="214"/>
      <c r="E43" s="214"/>
      <c r="F43" s="214"/>
      <c r="G43" s="214"/>
      <c r="H43" s="215"/>
    </row>
    <row r="44" spans="1:8" ht="20.100000000000001" customHeight="1" x14ac:dyDescent="0.3">
      <c r="A44" s="213" t="s">
        <v>287</v>
      </c>
      <c r="B44" s="214"/>
      <c r="C44" s="219">
        <f>H18/100</f>
        <v>0.1065</v>
      </c>
      <c r="D44" s="214"/>
      <c r="E44" s="214"/>
      <c r="F44" s="214" t="s">
        <v>287</v>
      </c>
      <c r="G44" s="214"/>
      <c r="H44" s="220">
        <f>C44-(H28/100)</f>
        <v>6.1499999999999999E-2</v>
      </c>
    </row>
    <row r="45" spans="1:8" ht="20.100000000000001" customHeight="1" x14ac:dyDescent="0.3">
      <c r="A45" s="213" t="s">
        <v>288</v>
      </c>
      <c r="B45" s="214"/>
      <c r="C45" s="221">
        <f>1-C44</f>
        <v>0.89349999999999996</v>
      </c>
      <c r="D45" s="214"/>
      <c r="E45" s="214"/>
      <c r="F45" s="214" t="s">
        <v>288</v>
      </c>
      <c r="G45" s="214"/>
      <c r="H45" s="222">
        <f>1-H44</f>
        <v>0.9385</v>
      </c>
    </row>
    <row r="46" spans="1:8" ht="18.75" x14ac:dyDescent="0.3">
      <c r="A46" s="213"/>
      <c r="B46" s="214"/>
      <c r="C46" s="214"/>
      <c r="D46" s="214"/>
      <c r="E46" s="214"/>
      <c r="F46" s="214"/>
      <c r="G46" s="214"/>
      <c r="H46" s="215"/>
    </row>
    <row r="47" spans="1:8" s="160" customFormat="1" ht="21.95" customHeight="1" x14ac:dyDescent="0.2">
      <c r="A47" s="223" t="s">
        <v>289</v>
      </c>
      <c r="B47" s="224"/>
      <c r="C47" s="225">
        <f>(C38*C40*C42)/C45-1</f>
        <v>0.27460000000000001</v>
      </c>
      <c r="D47" s="36"/>
      <c r="E47" s="36"/>
      <c r="F47" s="226" t="s">
        <v>290</v>
      </c>
      <c r="G47" s="227"/>
      <c r="H47" s="228">
        <f>(H38*H40*H42)/H45-1</f>
        <v>0.2135</v>
      </c>
    </row>
    <row r="48" spans="1:8" s="160" customFormat="1" ht="21.95" customHeight="1" x14ac:dyDescent="0.2">
      <c r="A48" s="196"/>
      <c r="B48" s="36"/>
      <c r="C48" s="36"/>
      <c r="D48" s="36"/>
      <c r="E48" s="36"/>
      <c r="F48" s="36"/>
      <c r="G48" s="36"/>
      <c r="H48" s="229" t="s">
        <v>291</v>
      </c>
    </row>
    <row r="49" spans="1:8" ht="15" customHeight="1" x14ac:dyDescent="0.3">
      <c r="A49" s="213"/>
      <c r="B49" s="214"/>
      <c r="C49" s="214"/>
      <c r="D49" s="214"/>
      <c r="E49" s="214"/>
      <c r="F49" s="1021" t="s">
        <v>292</v>
      </c>
      <c r="G49" s="1021"/>
      <c r="H49" s="1022"/>
    </row>
    <row r="50" spans="1:8" ht="19.5" thickBot="1" x14ac:dyDescent="0.35">
      <c r="A50" s="230"/>
      <c r="B50" s="231"/>
      <c r="C50" s="231"/>
      <c r="D50" s="231"/>
      <c r="E50" s="231"/>
      <c r="F50" s="1023"/>
      <c r="G50" s="1023"/>
      <c r="H50" s="1024"/>
    </row>
  </sheetData>
  <mergeCells count="9">
    <mergeCell ref="A7:H7"/>
    <mergeCell ref="A8:H8"/>
    <mergeCell ref="F49:H50"/>
    <mergeCell ref="A1:H1"/>
    <mergeCell ref="A3:H3"/>
    <mergeCell ref="A4:H4"/>
    <mergeCell ref="A5:H5"/>
    <mergeCell ref="B6:D6"/>
    <mergeCell ref="E6:H6"/>
  </mergeCells>
  <printOptions horizontalCentered="1"/>
  <pageMargins left="0.51181102362204722" right="0.51181102362204722" top="0.78740157480314965" bottom="0.78740157480314965" header="0.31496062992125984" footer="0.31496062992125984"/>
  <pageSetup paperSize="9" scale="66"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8"/>
  <sheetViews>
    <sheetView view="pageBreakPreview" zoomScale="85" zoomScaleNormal="100" zoomScaleSheetLayoutView="85" workbookViewId="0">
      <selection activeCell="A7" sqref="A7:H7"/>
    </sheetView>
  </sheetViews>
  <sheetFormatPr defaultRowHeight="12.75" x14ac:dyDescent="0.2"/>
  <cols>
    <col min="1" max="1" width="9.140625" style="2"/>
    <col min="2" max="2" width="9.28515625" style="2" bestFit="1" customWidth="1"/>
    <col min="3" max="3" width="51.85546875" style="2" customWidth="1"/>
    <col min="4" max="4" width="9.140625" style="2"/>
    <col min="5" max="5" width="16.28515625" style="2" customWidth="1"/>
    <col min="6" max="6" width="11.42578125" style="2" bestFit="1" customWidth="1"/>
    <col min="7" max="7" width="9.140625" style="2"/>
    <col min="8" max="8" width="11.5703125" style="2" bestFit="1" customWidth="1"/>
    <col min="9" max="16384" width="9.140625" style="2"/>
  </cols>
  <sheetData>
    <row r="1" spans="1:8" s="37" customFormat="1" ht="15" customHeight="1" x14ac:dyDescent="0.2">
      <c r="A1" s="244"/>
      <c r="B1" s="929"/>
      <c r="C1" s="929"/>
      <c r="D1" s="929"/>
      <c r="E1" s="929"/>
      <c r="F1" s="929"/>
      <c r="G1" s="929"/>
      <c r="H1" s="930"/>
    </row>
    <row r="2" spans="1:8" s="37" customFormat="1" ht="15" customHeight="1" x14ac:dyDescent="0.2">
      <c r="A2" s="931" t="s">
        <v>19</v>
      </c>
      <c r="B2" s="932"/>
      <c r="C2" s="932"/>
      <c r="D2" s="932"/>
      <c r="E2" s="932"/>
      <c r="F2" s="932"/>
      <c r="G2" s="932"/>
      <c r="H2" s="933"/>
    </row>
    <row r="3" spans="1:8" s="37" customFormat="1" ht="15" customHeight="1" x14ac:dyDescent="0.2">
      <c r="A3" s="934" t="s">
        <v>193</v>
      </c>
      <c r="B3" s="935"/>
      <c r="C3" s="935"/>
      <c r="D3" s="935"/>
      <c r="E3" s="935"/>
      <c r="F3" s="935"/>
      <c r="G3" s="935"/>
      <c r="H3" s="936"/>
    </row>
    <row r="4" spans="1:8" s="37" customFormat="1" ht="15" customHeight="1" x14ac:dyDescent="0.2">
      <c r="A4" s="934" t="s">
        <v>18</v>
      </c>
      <c r="B4" s="935"/>
      <c r="C4" s="935"/>
      <c r="D4" s="935"/>
      <c r="E4" s="935"/>
      <c r="F4" s="935"/>
      <c r="G4" s="935"/>
      <c r="H4" s="936"/>
    </row>
    <row r="5" spans="1:8" s="37" customFormat="1" ht="15" customHeight="1" thickBot="1" x14ac:dyDescent="0.25">
      <c r="A5" s="245"/>
      <c r="B5" s="937"/>
      <c r="C5" s="937"/>
      <c r="D5" s="937"/>
      <c r="E5" s="937"/>
      <c r="F5" s="937"/>
      <c r="G5" s="937"/>
      <c r="H5" s="938"/>
    </row>
    <row r="6" spans="1:8" s="38" customFormat="1" ht="24.95" customHeight="1" thickTop="1" thickBot="1" x14ac:dyDescent="0.25">
      <c r="A6" s="378" t="s">
        <v>307</v>
      </c>
      <c r="B6" s="379" t="s">
        <v>685</v>
      </c>
      <c r="C6" s="939" t="str">
        <f>PROPER(" POçO DE VISITA PARA DRENAGEM PLUVIAL, EM CONCRETO ESTRUTURAL, DIMENSOES INTERNAS DE 90X150X80CM (LARGXCOMPXALT), PARA REDE DE 600 MM, EXCLUSOS TAMPAO E CHAMINE")</f>
        <v xml:space="preserve"> Poço De Visita Para Drenagem Pluvial, Em Concreto Estrutural, Dimensoes Internas De 90X150X80Cm (Largxcompxalt), Para Rede De 600 Mm, Exclusos Tampao E Chamine</v>
      </c>
      <c r="D6" s="939"/>
      <c r="E6" s="939"/>
      <c r="F6" s="939"/>
      <c r="G6" s="940" t="s">
        <v>327</v>
      </c>
      <c r="H6" s="941"/>
    </row>
    <row r="7" spans="1:8" s="38" customFormat="1" ht="40.5" customHeight="1" thickTop="1" x14ac:dyDescent="0.2">
      <c r="A7" s="923" t="str">
        <f>'ORÇAMENTO GERAL'!C7</f>
        <v>EXECUÇÃO DOS SERVIÇOS DE DRENAGEM SUPERFICIAL E DRENAGEM PROFUNDA  NA TRAVESSA BEIRA RIO E RUA MOCAJATUBA - NO DISTRITO INDUSTRIAL  NO MUNICÍPIO DE ANANINDEUA (PA).</v>
      </c>
      <c r="B7" s="924"/>
      <c r="C7" s="924"/>
      <c r="D7" s="924"/>
      <c r="E7" s="924"/>
      <c r="F7" s="924"/>
      <c r="G7" s="924"/>
      <c r="H7" s="925"/>
    </row>
    <row r="8" spans="1:8" s="38" customFormat="1" ht="20.100000000000001" customHeight="1" x14ac:dyDescent="0.2">
      <c r="A8" s="1037" t="s">
        <v>194</v>
      </c>
      <c r="B8" s="1038"/>
      <c r="C8" s="1038"/>
      <c r="D8" s="1038"/>
      <c r="E8" s="1038"/>
      <c r="F8" s="1038"/>
      <c r="G8" s="1038"/>
      <c r="H8" s="1039"/>
    </row>
    <row r="9" spans="1:8" s="38" customFormat="1" ht="20.100000000000001" customHeight="1" x14ac:dyDescent="0.2">
      <c r="A9" s="232" t="s">
        <v>36</v>
      </c>
      <c r="B9" s="233" t="s">
        <v>306</v>
      </c>
      <c r="C9" s="234" t="s">
        <v>37</v>
      </c>
      <c r="D9" s="233" t="s">
        <v>38</v>
      </c>
      <c r="E9" s="234" t="s">
        <v>160</v>
      </c>
      <c r="F9" s="235" t="s">
        <v>39</v>
      </c>
      <c r="G9" s="1040" t="s">
        <v>40</v>
      </c>
      <c r="H9" s="1041"/>
    </row>
    <row r="10" spans="1:8" s="38" customFormat="1" ht="20.100000000000001" customHeight="1" x14ac:dyDescent="0.2">
      <c r="A10" s="246">
        <v>1</v>
      </c>
      <c r="B10" s="236">
        <v>88309</v>
      </c>
      <c r="C10" s="103" t="s">
        <v>317</v>
      </c>
      <c r="D10" s="42" t="s">
        <v>248</v>
      </c>
      <c r="E10" s="125">
        <v>0.21279999999999999</v>
      </c>
      <c r="F10" s="43">
        <v>21.31</v>
      </c>
      <c r="G10" s="44"/>
      <c r="H10" s="45">
        <f>ROUND(E10*F10,2)</f>
        <v>4.53</v>
      </c>
    </row>
    <row r="11" spans="1:8" s="38" customFormat="1" ht="20.100000000000001" customHeight="1" thickBot="1" x14ac:dyDescent="0.25">
      <c r="A11" s="246">
        <v>2</v>
      </c>
      <c r="B11" s="236">
        <v>88316</v>
      </c>
      <c r="C11" s="103" t="s">
        <v>198</v>
      </c>
      <c r="D11" s="42" t="s">
        <v>248</v>
      </c>
      <c r="E11" s="125">
        <v>0.42549999999999999</v>
      </c>
      <c r="F11" s="43">
        <v>17.09</v>
      </c>
      <c r="G11" s="44"/>
      <c r="H11" s="45">
        <f>ROUND(E11*F11,2)</f>
        <v>7.27</v>
      </c>
    </row>
    <row r="12" spans="1:8" s="38" customFormat="1" ht="20.100000000000001" customHeight="1" thickBot="1" x14ac:dyDescent="0.25">
      <c r="A12" s="247"/>
      <c r="B12" s="47"/>
      <c r="C12" s="44"/>
      <c r="D12" s="47"/>
      <c r="E12" s="48" t="s">
        <v>199</v>
      </c>
      <c r="F12" s="49"/>
      <c r="G12" s="50"/>
      <c r="H12" s="51">
        <f>SUM(H10:H11)</f>
        <v>11.8</v>
      </c>
    </row>
    <row r="13" spans="1:8" s="38" customFormat="1" ht="20.100000000000001" customHeight="1" x14ac:dyDescent="0.2">
      <c r="A13" s="944" t="s">
        <v>200</v>
      </c>
      <c r="B13" s="945"/>
      <c r="C13" s="945"/>
      <c r="D13" s="945"/>
      <c r="E13" s="945"/>
      <c r="F13" s="945"/>
      <c r="G13" s="945"/>
      <c r="H13" s="946"/>
    </row>
    <row r="14" spans="1:8" s="38" customFormat="1" ht="20.100000000000001" customHeight="1" x14ac:dyDescent="0.2">
      <c r="A14" s="232" t="s">
        <v>36</v>
      </c>
      <c r="B14" s="233" t="s">
        <v>306</v>
      </c>
      <c r="C14" s="234" t="s">
        <v>37</v>
      </c>
      <c r="D14" s="233" t="s">
        <v>38</v>
      </c>
      <c r="E14" s="234" t="s">
        <v>160</v>
      </c>
      <c r="F14" s="235" t="s">
        <v>39</v>
      </c>
      <c r="G14" s="947" t="s">
        <v>40</v>
      </c>
      <c r="H14" s="948"/>
    </row>
    <row r="15" spans="1:8" s="38" customFormat="1" ht="20.100000000000001" customHeight="1" x14ac:dyDescent="0.2">
      <c r="A15" s="246">
        <v>1</v>
      </c>
      <c r="B15" s="237">
        <v>87313</v>
      </c>
      <c r="C15" s="126" t="s">
        <v>320</v>
      </c>
      <c r="D15" s="60" t="s">
        <v>206</v>
      </c>
      <c r="E15" s="109">
        <v>0.02</v>
      </c>
      <c r="F15" s="110">
        <v>638.11</v>
      </c>
      <c r="G15" s="59"/>
      <c r="H15" s="45">
        <f>ROUND(E15*F15,2)</f>
        <v>12.76</v>
      </c>
    </row>
    <row r="16" spans="1:8" s="38" customFormat="1" ht="20.100000000000001" customHeight="1" x14ac:dyDescent="0.2">
      <c r="A16" s="246">
        <v>2</v>
      </c>
      <c r="B16" s="237">
        <v>94969</v>
      </c>
      <c r="C16" s="126" t="s">
        <v>325</v>
      </c>
      <c r="D16" s="60" t="s">
        <v>206</v>
      </c>
      <c r="E16" s="109">
        <v>1.62</v>
      </c>
      <c r="F16" s="110">
        <v>522.67999999999995</v>
      </c>
      <c r="G16" s="59"/>
      <c r="H16" s="45">
        <f>ROUND(E16*F16,2)</f>
        <v>846.74</v>
      </c>
    </row>
    <row r="17" spans="1:8" s="38" customFormat="1" ht="20.100000000000001" customHeight="1" thickBot="1" x14ac:dyDescent="0.25">
      <c r="A17" s="246">
        <v>3</v>
      </c>
      <c r="B17" s="237">
        <v>101616</v>
      </c>
      <c r="C17" s="126" t="s">
        <v>326</v>
      </c>
      <c r="D17" s="60" t="s">
        <v>322</v>
      </c>
      <c r="E17" s="109">
        <v>2.2799999999999998</v>
      </c>
      <c r="F17" s="110">
        <v>4.96</v>
      </c>
      <c r="G17" s="59"/>
      <c r="H17" s="45">
        <f>ROUND(E17*F17,2)</f>
        <v>11.31</v>
      </c>
    </row>
    <row r="18" spans="1:8" s="38" customFormat="1" ht="20.100000000000001" customHeight="1" thickBot="1" x14ac:dyDescent="0.25">
      <c r="A18" s="247"/>
      <c r="B18" s="47" t="s">
        <v>203</v>
      </c>
      <c r="C18" s="44"/>
      <c r="D18" s="47"/>
      <c r="E18" s="48" t="s">
        <v>204</v>
      </c>
      <c r="F18" s="61"/>
      <c r="G18" s="62"/>
      <c r="H18" s="51">
        <f>SUM(H15:H17)</f>
        <v>870.81</v>
      </c>
    </row>
    <row r="19" spans="1:8" s="38" customFormat="1" ht="20.100000000000001" customHeight="1" x14ac:dyDescent="0.2">
      <c r="A19" s="1042" t="s">
        <v>205</v>
      </c>
      <c r="B19" s="1043"/>
      <c r="C19" s="1043"/>
      <c r="D19" s="1043"/>
      <c r="E19" s="1043"/>
      <c r="F19" s="1043"/>
      <c r="G19" s="1043"/>
      <c r="H19" s="1044"/>
    </row>
    <row r="20" spans="1:8" s="38" customFormat="1" ht="20.100000000000001" customHeight="1" x14ac:dyDescent="0.2">
      <c r="A20" s="232" t="s">
        <v>36</v>
      </c>
      <c r="B20" s="233" t="s">
        <v>306</v>
      </c>
      <c r="C20" s="234" t="s">
        <v>37</v>
      </c>
      <c r="D20" s="233" t="s">
        <v>38</v>
      </c>
      <c r="E20" s="234" t="s">
        <v>160</v>
      </c>
      <c r="F20" s="235" t="s">
        <v>39</v>
      </c>
      <c r="G20" s="947" t="s">
        <v>40</v>
      </c>
      <c r="H20" s="948"/>
    </row>
    <row r="21" spans="1:8" s="38" customFormat="1" ht="20.100000000000001" customHeight="1" x14ac:dyDescent="0.2">
      <c r="A21" s="246">
        <v>1</v>
      </c>
      <c r="B21" s="237">
        <v>5875</v>
      </c>
      <c r="C21" s="111" t="s">
        <v>318</v>
      </c>
      <c r="D21" s="60" t="s">
        <v>183</v>
      </c>
      <c r="E21" s="127">
        <v>0.17019999999999999</v>
      </c>
      <c r="F21" s="110">
        <v>139.58000000000001</v>
      </c>
      <c r="G21" s="59"/>
      <c r="H21" s="45">
        <f>ROUND(E21*F21,2)</f>
        <v>23.76</v>
      </c>
    </row>
    <row r="22" spans="1:8" s="38" customFormat="1" ht="20.100000000000001" customHeight="1" x14ac:dyDescent="0.2">
      <c r="A22" s="246">
        <v>2</v>
      </c>
      <c r="B22" s="237">
        <v>5877</v>
      </c>
      <c r="C22" s="111" t="s">
        <v>319</v>
      </c>
      <c r="D22" s="60" t="s">
        <v>185</v>
      </c>
      <c r="E22" s="127">
        <v>4.2599999999999999E-2</v>
      </c>
      <c r="F22" s="110">
        <v>54.54</v>
      </c>
      <c r="G22" s="59"/>
      <c r="H22" s="45">
        <f>ROUND(E22*F22,2)</f>
        <v>2.3199999999999998</v>
      </c>
    </row>
    <row r="23" spans="1:8" s="38" customFormat="1" ht="20.100000000000001" customHeight="1" x14ac:dyDescent="0.2">
      <c r="A23" s="246">
        <v>3</v>
      </c>
      <c r="B23" s="237">
        <v>92419</v>
      </c>
      <c r="C23" s="111" t="s">
        <v>321</v>
      </c>
      <c r="D23" s="60" t="s">
        <v>322</v>
      </c>
      <c r="E23" s="127">
        <v>12.68</v>
      </c>
      <c r="F23" s="110">
        <v>81.84</v>
      </c>
      <c r="G23" s="59"/>
      <c r="H23" s="45">
        <f>ROUND(E23*F23,2)</f>
        <v>1037.73</v>
      </c>
    </row>
    <row r="24" spans="1:8" s="38" customFormat="1" ht="20.100000000000001" customHeight="1" thickBot="1" x14ac:dyDescent="0.25">
      <c r="A24" s="246">
        <v>4</v>
      </c>
      <c r="B24" s="237">
        <v>92915</v>
      </c>
      <c r="C24" s="111" t="s">
        <v>323</v>
      </c>
      <c r="D24" s="60" t="s">
        <v>324</v>
      </c>
      <c r="E24" s="127">
        <v>16.399999999999999</v>
      </c>
      <c r="F24" s="110">
        <v>17.71</v>
      </c>
      <c r="G24" s="59"/>
      <c r="H24" s="45">
        <f>ROUND(E24*F24,2)</f>
        <v>290.44</v>
      </c>
    </row>
    <row r="25" spans="1:8" s="38" customFormat="1" ht="20.100000000000001" customHeight="1" thickBot="1" x14ac:dyDescent="0.25">
      <c r="A25" s="247"/>
      <c r="B25" s="44" t="s">
        <v>203</v>
      </c>
      <c r="C25" s="44"/>
      <c r="D25" s="47"/>
      <c r="E25" s="48" t="s">
        <v>207</v>
      </c>
      <c r="F25" s="61"/>
      <c r="G25" s="62"/>
      <c r="H25" s="51">
        <f>SUM(H21:H24)</f>
        <v>1354.25</v>
      </c>
    </row>
    <row r="26" spans="1:8" s="38" customFormat="1" ht="20.100000000000001" customHeight="1" x14ac:dyDescent="0.2">
      <c r="A26" s="247"/>
      <c r="B26" s="863" t="s">
        <v>208</v>
      </c>
      <c r="C26" s="863"/>
      <c r="D26" s="863"/>
      <c r="E26" s="863"/>
      <c r="F26" s="863"/>
      <c r="G26" s="864"/>
      <c r="H26" s="64">
        <f>SUM(H12+H18+H25)</f>
        <v>2236.86</v>
      </c>
    </row>
    <row r="27" spans="1:8" s="38" customFormat="1" ht="20.100000000000001" customHeight="1" thickBot="1" x14ac:dyDescent="0.25">
      <c r="A27" s="248"/>
      <c r="B27" s="954" t="s">
        <v>209</v>
      </c>
      <c r="C27" s="954"/>
      <c r="D27" s="954"/>
      <c r="E27" s="954"/>
      <c r="F27" s="954"/>
      <c r="G27" s="238">
        <v>0.27460000000000001</v>
      </c>
      <c r="H27" s="239">
        <f>H26*G27</f>
        <v>614.24</v>
      </c>
    </row>
    <row r="28" spans="1:8" s="38" customFormat="1" ht="20.100000000000001" customHeight="1" thickBot="1" x14ac:dyDescent="0.25">
      <c r="A28" s="380"/>
      <c r="B28" s="240" t="s">
        <v>210</v>
      </c>
      <c r="C28" s="240"/>
      <c r="D28" s="241"/>
      <c r="E28" s="240"/>
      <c r="F28" s="240"/>
      <c r="G28" s="242"/>
      <c r="H28" s="243">
        <f>SUM(H26:H27)</f>
        <v>2851.1</v>
      </c>
    </row>
  </sheetData>
  <mergeCells count="16">
    <mergeCell ref="B1:H1"/>
    <mergeCell ref="A2:H2"/>
    <mergeCell ref="A3:H3"/>
    <mergeCell ref="A4:H4"/>
    <mergeCell ref="B5:H5"/>
    <mergeCell ref="C6:F6"/>
    <mergeCell ref="G6:H6"/>
    <mergeCell ref="G20:H20"/>
    <mergeCell ref="B26:G26"/>
    <mergeCell ref="B27:F27"/>
    <mergeCell ref="A7:H7"/>
    <mergeCell ref="A8:H8"/>
    <mergeCell ref="G9:H9"/>
    <mergeCell ref="A13:H13"/>
    <mergeCell ref="G14:H14"/>
    <mergeCell ref="A19:H19"/>
  </mergeCells>
  <printOptions horizontalCentered="1"/>
  <pageMargins left="0.51181102362204722" right="0.51181102362204722" top="0.78740157480314965" bottom="0.78740157480314965" header="0.31496062992125984" footer="0.31496062992125984"/>
  <pageSetup paperSize="9" scale="73"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WF151"/>
  <sheetViews>
    <sheetView view="pageBreakPreview" topLeftCell="C1" zoomScale="55" zoomScaleNormal="60" zoomScaleSheetLayoutView="55" workbookViewId="0">
      <selection activeCell="I125" sqref="I125"/>
    </sheetView>
  </sheetViews>
  <sheetFormatPr defaultRowHeight="21" x14ac:dyDescent="0.2"/>
  <cols>
    <col min="1" max="2" width="4.42578125" style="434" hidden="1" customWidth="1"/>
    <col min="3" max="4" width="16.7109375" style="434" customWidth="1"/>
    <col min="5" max="5" width="24.28515625" style="434" customWidth="1"/>
    <col min="6" max="6" width="100.7109375" style="434" customWidth="1"/>
    <col min="7" max="7" width="21.7109375" style="434" customWidth="1"/>
    <col min="8" max="8" width="16.7109375" style="434" customWidth="1"/>
    <col min="9" max="9" width="25.42578125" style="466" customWidth="1"/>
    <col min="10" max="10" width="23" style="434" bestFit="1" customWidth="1"/>
    <col min="11" max="11" width="30.5703125" style="434" bestFit="1" customWidth="1"/>
    <col min="12" max="12" width="14.28515625" style="434" customWidth="1"/>
    <col min="13" max="13" width="38.42578125" style="434" customWidth="1"/>
    <col min="14" max="14" width="14.85546875" style="434" bestFit="1" customWidth="1"/>
    <col min="15" max="15" width="15.85546875" style="434" customWidth="1"/>
    <col min="16" max="16" width="16.28515625" style="434" customWidth="1"/>
    <col min="17" max="16384" width="9.140625" style="434"/>
  </cols>
  <sheetData>
    <row r="1" spans="1:604" x14ac:dyDescent="0.2">
      <c r="A1" s="471"/>
      <c r="B1" s="472"/>
      <c r="C1" s="693" t="s">
        <v>720</v>
      </c>
      <c r="D1" s="694"/>
      <c r="E1" s="694"/>
      <c r="F1" s="694"/>
      <c r="G1" s="694"/>
      <c r="H1" s="694"/>
      <c r="I1" s="694"/>
      <c r="J1" s="694"/>
      <c r="K1" s="695"/>
      <c r="L1" s="446"/>
      <c r="M1" s="446"/>
    </row>
    <row r="2" spans="1:604" ht="24.95" customHeight="1" x14ac:dyDescent="0.2">
      <c r="A2" s="491"/>
      <c r="B2" s="478"/>
      <c r="C2" s="696"/>
      <c r="D2" s="676"/>
      <c r="E2" s="676"/>
      <c r="F2" s="676"/>
      <c r="G2" s="676"/>
      <c r="H2" s="676"/>
      <c r="I2" s="676"/>
      <c r="J2" s="676"/>
      <c r="K2" s="697"/>
      <c r="L2" s="446"/>
      <c r="M2" s="446"/>
    </row>
    <row r="3" spans="1:604" ht="24.95" customHeight="1" x14ac:dyDescent="0.2">
      <c r="A3" s="491"/>
      <c r="B3" s="478"/>
      <c r="C3" s="696"/>
      <c r="D3" s="676"/>
      <c r="E3" s="676"/>
      <c r="F3" s="676"/>
      <c r="G3" s="676"/>
      <c r="H3" s="676"/>
      <c r="I3" s="676"/>
      <c r="J3" s="676"/>
      <c r="K3" s="697"/>
      <c r="L3" s="446"/>
      <c r="M3" s="446"/>
    </row>
    <row r="4" spans="1:604" ht="24.95" customHeight="1" x14ac:dyDescent="0.2">
      <c r="A4" s="491"/>
      <c r="B4" s="478"/>
      <c r="C4" s="696"/>
      <c r="D4" s="676"/>
      <c r="E4" s="676"/>
      <c r="F4" s="676"/>
      <c r="G4" s="676"/>
      <c r="H4" s="676"/>
      <c r="I4" s="676"/>
      <c r="J4" s="676"/>
      <c r="K4" s="697"/>
      <c r="L4" s="446"/>
      <c r="M4" s="446"/>
    </row>
    <row r="5" spans="1:604" ht="24.95" customHeight="1" thickBot="1" x14ac:dyDescent="0.25">
      <c r="A5" s="491"/>
      <c r="B5" s="478"/>
      <c r="C5" s="698"/>
      <c r="D5" s="699"/>
      <c r="E5" s="699"/>
      <c r="F5" s="699"/>
      <c r="G5" s="699"/>
      <c r="H5" s="699"/>
      <c r="I5" s="699"/>
      <c r="J5" s="699"/>
      <c r="K5" s="700"/>
      <c r="L5" s="446"/>
      <c r="M5" s="446"/>
    </row>
    <row r="6" spans="1:604" ht="21.75" customHeight="1" thickBot="1" x14ac:dyDescent="0.25">
      <c r="A6" s="491"/>
      <c r="B6" s="478"/>
      <c r="C6" s="683" t="s">
        <v>24</v>
      </c>
      <c r="D6" s="684"/>
      <c r="E6" s="684"/>
      <c r="F6" s="684"/>
      <c r="G6" s="684"/>
      <c r="H6" s="684"/>
      <c r="I6" s="684"/>
      <c r="J6" s="684"/>
      <c r="K6" s="685"/>
      <c r="L6" s="446"/>
      <c r="M6" s="446"/>
    </row>
    <row r="7" spans="1:604" ht="58.5" customHeight="1" thickBot="1" x14ac:dyDescent="0.25">
      <c r="A7" s="492"/>
      <c r="B7" s="493"/>
      <c r="C7" s="686" t="s">
        <v>719</v>
      </c>
      <c r="D7" s="687"/>
      <c r="E7" s="687"/>
      <c r="F7" s="687"/>
      <c r="G7" s="687"/>
      <c r="H7" s="687"/>
      <c r="I7" s="687"/>
      <c r="J7" s="687"/>
      <c r="K7" s="688"/>
      <c r="L7" s="446"/>
      <c r="M7" s="511"/>
      <c r="N7" s="25"/>
      <c r="O7" s="25"/>
      <c r="P7" s="26"/>
    </row>
    <row r="8" spans="1:604" ht="37.5" x14ac:dyDescent="0.2">
      <c r="A8" s="490"/>
      <c r="B8" s="490"/>
      <c r="C8" s="680" t="s">
        <v>7</v>
      </c>
      <c r="D8" s="680" t="s">
        <v>189</v>
      </c>
      <c r="E8" s="680" t="s">
        <v>582</v>
      </c>
      <c r="F8" s="680" t="s">
        <v>6</v>
      </c>
      <c r="G8" s="680" t="s">
        <v>448</v>
      </c>
      <c r="H8" s="680" t="s">
        <v>22</v>
      </c>
      <c r="I8" s="680" t="s">
        <v>25</v>
      </c>
      <c r="J8" s="474" t="s">
        <v>264</v>
      </c>
      <c r="K8" s="680" t="s">
        <v>447</v>
      </c>
      <c r="L8" s="446"/>
      <c r="M8" s="473"/>
      <c r="N8" s="461"/>
      <c r="O8" s="461"/>
      <c r="P8" s="461"/>
    </row>
    <row r="9" spans="1:604" x14ac:dyDescent="0.2">
      <c r="A9" s="486"/>
      <c r="B9" s="486"/>
      <c r="C9" s="681"/>
      <c r="D9" s="681"/>
      <c r="E9" s="681"/>
      <c r="F9" s="681"/>
      <c r="G9" s="681"/>
      <c r="H9" s="681"/>
      <c r="I9" s="681"/>
      <c r="J9" s="475">
        <v>0.27460000000000001</v>
      </c>
      <c r="K9" s="681"/>
      <c r="L9" s="446"/>
      <c r="M9" s="473"/>
      <c r="N9" s="461"/>
      <c r="O9" s="461"/>
      <c r="P9" s="461"/>
    </row>
    <row r="10" spans="1:604" ht="27.95" customHeight="1" x14ac:dyDescent="0.2">
      <c r="A10" s="486"/>
      <c r="B10" s="486"/>
      <c r="C10" s="487">
        <v>1</v>
      </c>
      <c r="D10" s="682" t="s">
        <v>1</v>
      </c>
      <c r="E10" s="682"/>
      <c r="F10" s="682"/>
      <c r="G10" s="682"/>
      <c r="H10" s="682"/>
      <c r="I10" s="682"/>
      <c r="J10" s="682"/>
      <c r="K10" s="682"/>
      <c r="L10" s="446"/>
      <c r="M10" s="676"/>
      <c r="N10" s="677"/>
      <c r="O10" s="677"/>
      <c r="P10" s="677"/>
    </row>
    <row r="11" spans="1:604" s="498" customFormat="1" ht="45" customHeight="1" x14ac:dyDescent="0.2">
      <c r="A11" s="486"/>
      <c r="B11" s="486"/>
      <c r="C11" s="450" t="s">
        <v>20</v>
      </c>
      <c r="D11" s="450" t="s">
        <v>190</v>
      </c>
      <c r="E11" s="435">
        <v>11340</v>
      </c>
      <c r="F11" s="436" t="s">
        <v>293</v>
      </c>
      <c r="G11" s="437">
        <v>6</v>
      </c>
      <c r="H11" s="438" t="s">
        <v>2</v>
      </c>
      <c r="I11" s="476">
        <v>159.52000000000001</v>
      </c>
      <c r="J11" s="439">
        <f>ROUND(I11*(1+$J$9),2)</f>
        <v>203.32</v>
      </c>
      <c r="K11" s="476">
        <f>ROUND(J11*G11,2)</f>
        <v>1219.92</v>
      </c>
      <c r="L11" s="446"/>
      <c r="M11" s="676"/>
      <c r="N11" s="678"/>
      <c r="O11" s="678"/>
      <c r="P11" s="678"/>
    </row>
    <row r="12" spans="1:604" s="498" customFormat="1" ht="45" hidden="1" customHeight="1" x14ac:dyDescent="0.2">
      <c r="A12" s="486"/>
      <c r="B12" s="486"/>
      <c r="C12" s="450" t="s">
        <v>21</v>
      </c>
      <c r="D12" s="626" t="s">
        <v>190</v>
      </c>
      <c r="E12" s="435">
        <v>10005</v>
      </c>
      <c r="F12" s="436" t="s">
        <v>669</v>
      </c>
      <c r="G12" s="437">
        <v>0</v>
      </c>
      <c r="H12" s="438" t="s">
        <v>2</v>
      </c>
      <c r="I12" s="476">
        <v>402.55</v>
      </c>
      <c r="J12" s="439">
        <f>ROUND(I12*(1+$J$9),2)</f>
        <v>513.09</v>
      </c>
      <c r="K12" s="476">
        <f t="shared" ref="K12:K15" si="0">ROUND(J12*G12,2)</f>
        <v>0</v>
      </c>
      <c r="L12" s="446"/>
      <c r="M12" s="473"/>
      <c r="N12" s="503"/>
      <c r="O12" s="503"/>
      <c r="P12" s="503"/>
    </row>
    <row r="13" spans="1:604" s="498" customFormat="1" ht="45" hidden="1" customHeight="1" x14ac:dyDescent="0.2">
      <c r="A13" s="486"/>
      <c r="B13" s="486"/>
      <c r="C13" s="450" t="s">
        <v>21</v>
      </c>
      <c r="D13" s="626" t="s">
        <v>192</v>
      </c>
      <c r="E13" s="435">
        <v>99064</v>
      </c>
      <c r="F13" s="436" t="s">
        <v>671</v>
      </c>
      <c r="G13" s="437"/>
      <c r="H13" s="438" t="s">
        <v>3</v>
      </c>
      <c r="I13" s="476">
        <v>0.37</v>
      </c>
      <c r="J13" s="439">
        <f>ROUND(I13*(1+$J$9),2)</f>
        <v>0.47</v>
      </c>
      <c r="K13" s="476">
        <f t="shared" si="0"/>
        <v>0</v>
      </c>
      <c r="L13" s="446"/>
      <c r="M13" s="473"/>
      <c r="N13" s="503"/>
      <c r="O13" s="503"/>
      <c r="P13" s="502"/>
      <c r="Q13" s="499"/>
      <c r="R13" s="499"/>
      <c r="S13" s="499"/>
      <c r="T13" s="499"/>
      <c r="U13" s="499"/>
      <c r="V13" s="499"/>
      <c r="W13" s="499"/>
      <c r="X13" s="499"/>
      <c r="Y13" s="499"/>
      <c r="Z13" s="499"/>
      <c r="AA13" s="499"/>
      <c r="AB13" s="499"/>
      <c r="AC13" s="499"/>
      <c r="AD13" s="499"/>
      <c r="AE13" s="499"/>
      <c r="AF13" s="499"/>
      <c r="AG13" s="499"/>
      <c r="AH13" s="499"/>
      <c r="AI13" s="499"/>
    </row>
    <row r="14" spans="1:604" s="498" customFormat="1" ht="45" hidden="1" customHeight="1" x14ac:dyDescent="0.2">
      <c r="A14" s="486"/>
      <c r="B14" s="486"/>
      <c r="C14" s="450" t="s">
        <v>670</v>
      </c>
      <c r="D14" s="626" t="s">
        <v>191</v>
      </c>
      <c r="E14" s="435" t="s">
        <v>672</v>
      </c>
      <c r="F14" s="436" t="s">
        <v>673</v>
      </c>
      <c r="G14" s="437"/>
      <c r="H14" s="440" t="s">
        <v>328</v>
      </c>
      <c r="I14" s="476">
        <f>'[1]CPU-1'!K19</f>
        <v>25293.599999999999</v>
      </c>
      <c r="J14" s="439">
        <f>ROUND(I14*(1+$J$9),2)</f>
        <v>32239.22</v>
      </c>
      <c r="K14" s="476">
        <f t="shared" si="0"/>
        <v>0</v>
      </c>
      <c r="L14" s="478"/>
      <c r="M14" s="473"/>
      <c r="N14" s="502"/>
      <c r="O14" s="502"/>
      <c r="P14" s="502"/>
      <c r="Q14" s="499"/>
      <c r="R14" s="499"/>
      <c r="S14" s="499"/>
      <c r="T14" s="499"/>
      <c r="U14" s="499"/>
      <c r="V14" s="499"/>
      <c r="W14" s="499"/>
      <c r="X14" s="499"/>
      <c r="Y14" s="499"/>
      <c r="Z14" s="499"/>
      <c r="AA14" s="499"/>
      <c r="AB14" s="499"/>
      <c r="AC14" s="499"/>
      <c r="AD14" s="499"/>
      <c r="AE14" s="499"/>
      <c r="AF14" s="499"/>
      <c r="AG14" s="499"/>
      <c r="AH14" s="499"/>
      <c r="AI14" s="499"/>
      <c r="AJ14" s="499"/>
      <c r="AK14" s="499"/>
      <c r="AL14" s="499"/>
      <c r="AM14" s="499"/>
      <c r="AN14" s="499"/>
      <c r="AO14" s="499"/>
      <c r="AP14" s="499"/>
      <c r="AQ14" s="499"/>
      <c r="AR14" s="499"/>
      <c r="AS14" s="499"/>
      <c r="AT14" s="499"/>
      <c r="AU14" s="499"/>
      <c r="AV14" s="499"/>
      <c r="AW14" s="499"/>
      <c r="AX14" s="499"/>
      <c r="AY14" s="499"/>
      <c r="AZ14" s="499"/>
      <c r="BA14" s="499"/>
      <c r="BB14" s="499"/>
      <c r="BC14" s="499"/>
      <c r="BD14" s="499"/>
      <c r="BE14" s="499"/>
      <c r="BF14" s="499"/>
      <c r="BG14" s="499"/>
      <c r="BH14" s="499"/>
      <c r="BI14" s="499"/>
      <c r="BJ14" s="499"/>
      <c r="BK14" s="499"/>
      <c r="BL14" s="499"/>
      <c r="BM14" s="499"/>
      <c r="BN14" s="499"/>
      <c r="BO14" s="499"/>
      <c r="BP14" s="499"/>
      <c r="BQ14" s="499"/>
      <c r="BR14" s="499"/>
      <c r="BS14" s="499"/>
      <c r="BT14" s="499"/>
      <c r="BU14" s="499"/>
      <c r="BV14" s="499"/>
      <c r="BW14" s="499"/>
      <c r="BX14" s="499"/>
      <c r="BY14" s="499"/>
      <c r="BZ14" s="499"/>
      <c r="CA14" s="499"/>
      <c r="CB14" s="499"/>
      <c r="CC14" s="499"/>
      <c r="CD14" s="499"/>
      <c r="CE14" s="499"/>
      <c r="CF14" s="499"/>
      <c r="CG14" s="499"/>
      <c r="CH14" s="499"/>
      <c r="CI14" s="499"/>
      <c r="CJ14" s="499"/>
      <c r="CK14" s="499"/>
      <c r="CL14" s="499"/>
      <c r="CM14" s="499"/>
      <c r="CN14" s="499"/>
      <c r="CO14" s="499"/>
      <c r="CP14" s="499"/>
      <c r="CQ14" s="499"/>
      <c r="CR14" s="499"/>
      <c r="CS14" s="499"/>
      <c r="CT14" s="499"/>
      <c r="CU14" s="499"/>
      <c r="CV14" s="499"/>
      <c r="CW14" s="499"/>
      <c r="CX14" s="499"/>
      <c r="CY14" s="499"/>
      <c r="CZ14" s="499"/>
      <c r="DA14" s="499"/>
      <c r="DB14" s="499"/>
      <c r="DC14" s="499"/>
      <c r="DD14" s="499"/>
      <c r="DE14" s="499"/>
      <c r="DF14" s="499"/>
      <c r="DG14" s="499"/>
      <c r="DH14" s="499"/>
      <c r="DI14" s="499"/>
      <c r="DJ14" s="499"/>
      <c r="DK14" s="499"/>
      <c r="DL14" s="499"/>
      <c r="DM14" s="499"/>
      <c r="DN14" s="499"/>
      <c r="DO14" s="499"/>
      <c r="DP14" s="499"/>
      <c r="DQ14" s="499"/>
      <c r="DR14" s="499"/>
      <c r="DS14" s="499"/>
      <c r="DT14" s="499"/>
      <c r="DU14" s="499"/>
      <c r="DV14" s="499"/>
      <c r="DW14" s="499"/>
      <c r="DX14" s="499"/>
      <c r="DY14" s="499"/>
      <c r="DZ14" s="499"/>
      <c r="EA14" s="499"/>
      <c r="EB14" s="499"/>
      <c r="EC14" s="499"/>
      <c r="ED14" s="499"/>
      <c r="EE14" s="499"/>
      <c r="EF14" s="499"/>
      <c r="EG14" s="499"/>
      <c r="EH14" s="499"/>
      <c r="EI14" s="499"/>
      <c r="EJ14" s="499"/>
      <c r="EK14" s="499"/>
      <c r="EL14" s="499"/>
      <c r="EM14" s="499"/>
      <c r="EN14" s="499"/>
      <c r="EO14" s="499"/>
      <c r="EP14" s="499"/>
      <c r="EQ14" s="499"/>
      <c r="ER14" s="499"/>
      <c r="ES14" s="499"/>
      <c r="ET14" s="499"/>
      <c r="EU14" s="499"/>
      <c r="EV14" s="499"/>
      <c r="EW14" s="499"/>
      <c r="EX14" s="499"/>
      <c r="EY14" s="499"/>
      <c r="EZ14" s="499"/>
      <c r="FA14" s="499"/>
      <c r="FB14" s="499"/>
      <c r="FC14" s="499"/>
      <c r="FD14" s="499"/>
      <c r="FE14" s="499"/>
      <c r="FF14" s="499"/>
      <c r="FG14" s="499"/>
      <c r="FH14" s="499"/>
      <c r="FI14" s="499"/>
      <c r="FJ14" s="499"/>
      <c r="FK14" s="499"/>
      <c r="FL14" s="499"/>
      <c r="FM14" s="499"/>
      <c r="FN14" s="499"/>
      <c r="FO14" s="499"/>
      <c r="FP14" s="499"/>
      <c r="FQ14" s="499"/>
      <c r="FR14" s="499"/>
      <c r="FS14" s="499"/>
      <c r="FT14" s="499"/>
      <c r="FU14" s="499"/>
      <c r="FV14" s="499"/>
      <c r="FW14" s="499"/>
      <c r="FX14" s="499"/>
      <c r="FY14" s="499"/>
      <c r="FZ14" s="499"/>
      <c r="GA14" s="499"/>
      <c r="GB14" s="499"/>
      <c r="GC14" s="499"/>
      <c r="GD14" s="499"/>
      <c r="GE14" s="499"/>
      <c r="GF14" s="499"/>
      <c r="GG14" s="499"/>
      <c r="GH14" s="499"/>
      <c r="GI14" s="499"/>
      <c r="GJ14" s="499"/>
      <c r="GK14" s="499"/>
      <c r="GL14" s="499"/>
      <c r="GM14" s="499"/>
      <c r="GN14" s="499"/>
      <c r="GO14" s="499"/>
      <c r="GP14" s="499"/>
      <c r="GQ14" s="499"/>
      <c r="GR14" s="499"/>
      <c r="GS14" s="499"/>
      <c r="GT14" s="499"/>
      <c r="GU14" s="499"/>
      <c r="GV14" s="499"/>
      <c r="GW14" s="499"/>
      <c r="GX14" s="499"/>
      <c r="GY14" s="499"/>
      <c r="GZ14" s="499"/>
      <c r="HA14" s="499"/>
      <c r="HB14" s="499"/>
      <c r="HC14" s="499"/>
      <c r="HD14" s="499"/>
      <c r="HE14" s="499"/>
      <c r="HF14" s="499"/>
      <c r="HG14" s="499"/>
      <c r="HH14" s="499"/>
      <c r="HI14" s="499"/>
      <c r="HJ14" s="499"/>
      <c r="HK14" s="499"/>
      <c r="HL14" s="499"/>
      <c r="HM14" s="499"/>
      <c r="HN14" s="499"/>
      <c r="HO14" s="499"/>
      <c r="HP14" s="499"/>
      <c r="HQ14" s="499"/>
      <c r="HR14" s="499"/>
      <c r="HS14" s="499"/>
      <c r="HT14" s="499"/>
      <c r="HU14" s="499"/>
      <c r="HV14" s="499"/>
      <c r="HW14" s="499"/>
      <c r="HX14" s="499"/>
      <c r="HY14" s="499"/>
      <c r="HZ14" s="499"/>
      <c r="IA14" s="499"/>
      <c r="IB14" s="499"/>
      <c r="IC14" s="499"/>
      <c r="ID14" s="499"/>
      <c r="IE14" s="499"/>
      <c r="IF14" s="499"/>
      <c r="IG14" s="499"/>
      <c r="IH14" s="499"/>
      <c r="II14" s="499"/>
      <c r="IJ14" s="499"/>
      <c r="IK14" s="499"/>
      <c r="IL14" s="499"/>
      <c r="IM14" s="499"/>
      <c r="IN14" s="499"/>
      <c r="IO14" s="499"/>
      <c r="IP14" s="499"/>
      <c r="IQ14" s="499"/>
      <c r="IR14" s="499"/>
      <c r="IS14" s="499"/>
      <c r="IT14" s="499"/>
      <c r="IU14" s="499"/>
      <c r="IV14" s="499"/>
      <c r="IW14" s="499"/>
      <c r="IX14" s="499"/>
      <c r="IY14" s="499"/>
      <c r="IZ14" s="499"/>
      <c r="JA14" s="499"/>
      <c r="JB14" s="499"/>
      <c r="JC14" s="499"/>
      <c r="JD14" s="499"/>
      <c r="JE14" s="499"/>
      <c r="JF14" s="499"/>
      <c r="JG14" s="499"/>
      <c r="JH14" s="499"/>
      <c r="JI14" s="499"/>
      <c r="JJ14" s="499"/>
      <c r="JK14" s="499"/>
      <c r="JL14" s="499"/>
      <c r="JM14" s="499"/>
      <c r="JN14" s="499"/>
      <c r="JO14" s="499"/>
      <c r="JP14" s="499"/>
      <c r="JQ14" s="499"/>
      <c r="JR14" s="499"/>
      <c r="JS14" s="499"/>
      <c r="JT14" s="499"/>
      <c r="JU14" s="499"/>
      <c r="JV14" s="499"/>
      <c r="JW14" s="499"/>
      <c r="JX14" s="499"/>
      <c r="JY14" s="499"/>
      <c r="JZ14" s="499"/>
      <c r="KA14" s="499"/>
      <c r="KB14" s="499"/>
      <c r="KC14" s="499"/>
      <c r="KD14" s="499"/>
      <c r="KE14" s="499"/>
      <c r="KF14" s="499"/>
      <c r="KG14" s="499"/>
      <c r="KH14" s="499"/>
      <c r="KI14" s="499"/>
      <c r="KJ14" s="499"/>
      <c r="KK14" s="499"/>
      <c r="KL14" s="499"/>
      <c r="KM14" s="499"/>
      <c r="KN14" s="499"/>
      <c r="KO14" s="499"/>
      <c r="KP14" s="499"/>
      <c r="KQ14" s="499"/>
      <c r="KR14" s="499"/>
      <c r="KS14" s="499"/>
      <c r="KT14" s="499"/>
      <c r="KU14" s="499"/>
      <c r="KV14" s="499"/>
      <c r="KW14" s="499"/>
      <c r="KX14" s="499"/>
      <c r="KY14" s="499"/>
      <c r="KZ14" s="499"/>
      <c r="LA14" s="499"/>
      <c r="LB14" s="499"/>
      <c r="LC14" s="499"/>
      <c r="LD14" s="499"/>
      <c r="LE14" s="499"/>
      <c r="LF14" s="499"/>
      <c r="LG14" s="499"/>
      <c r="LH14" s="499"/>
      <c r="LI14" s="499"/>
      <c r="LJ14" s="499"/>
      <c r="LK14" s="499"/>
      <c r="LL14" s="499"/>
      <c r="LM14" s="499"/>
      <c r="LN14" s="499"/>
      <c r="LO14" s="499"/>
      <c r="LP14" s="499"/>
      <c r="LQ14" s="499"/>
      <c r="LR14" s="499"/>
      <c r="LS14" s="499"/>
      <c r="LT14" s="499"/>
      <c r="LU14" s="499"/>
      <c r="LV14" s="499"/>
      <c r="LW14" s="499"/>
      <c r="LX14" s="499"/>
      <c r="LY14" s="499"/>
      <c r="LZ14" s="499"/>
      <c r="MA14" s="499"/>
      <c r="MB14" s="499"/>
      <c r="MC14" s="499"/>
      <c r="MD14" s="499"/>
      <c r="ME14" s="499"/>
      <c r="MF14" s="499"/>
      <c r="MG14" s="499"/>
      <c r="MH14" s="499"/>
      <c r="MI14" s="499"/>
      <c r="MJ14" s="499"/>
      <c r="MK14" s="499"/>
      <c r="ML14" s="499"/>
      <c r="MM14" s="499"/>
      <c r="MN14" s="499"/>
      <c r="MO14" s="499"/>
      <c r="MP14" s="499"/>
      <c r="MQ14" s="499"/>
      <c r="MR14" s="499"/>
      <c r="MS14" s="499"/>
      <c r="MT14" s="499"/>
      <c r="MU14" s="499"/>
      <c r="MV14" s="499"/>
      <c r="MW14" s="499"/>
      <c r="MX14" s="499"/>
      <c r="MY14" s="499"/>
      <c r="MZ14" s="499"/>
      <c r="NA14" s="499"/>
      <c r="NB14" s="499"/>
      <c r="NC14" s="499"/>
      <c r="ND14" s="499"/>
      <c r="NE14" s="499"/>
      <c r="NF14" s="499"/>
      <c r="NG14" s="499"/>
      <c r="NH14" s="499"/>
      <c r="NI14" s="499"/>
      <c r="NJ14" s="499"/>
      <c r="NK14" s="499"/>
      <c r="NL14" s="499"/>
      <c r="NM14" s="499"/>
      <c r="NN14" s="499"/>
      <c r="NO14" s="499"/>
      <c r="NP14" s="499"/>
      <c r="NQ14" s="499"/>
      <c r="NR14" s="499"/>
      <c r="NS14" s="499"/>
      <c r="NT14" s="499"/>
      <c r="NU14" s="499"/>
      <c r="NV14" s="499"/>
      <c r="NW14" s="499"/>
      <c r="NX14" s="499"/>
      <c r="NY14" s="499"/>
      <c r="NZ14" s="499"/>
      <c r="OA14" s="499"/>
      <c r="OB14" s="499"/>
      <c r="OC14" s="499"/>
      <c r="OD14" s="499"/>
      <c r="OE14" s="499"/>
      <c r="OF14" s="499"/>
      <c r="OG14" s="499"/>
      <c r="OH14" s="499"/>
      <c r="OI14" s="499"/>
      <c r="OJ14" s="499"/>
      <c r="OK14" s="499"/>
      <c r="OL14" s="499"/>
      <c r="OM14" s="499"/>
      <c r="ON14" s="499"/>
      <c r="OO14" s="499"/>
      <c r="OP14" s="499"/>
      <c r="OQ14" s="499"/>
      <c r="OR14" s="499"/>
      <c r="OS14" s="499"/>
      <c r="OT14" s="499"/>
      <c r="OU14" s="499"/>
      <c r="OV14" s="499"/>
      <c r="OW14" s="499"/>
      <c r="OX14" s="499"/>
      <c r="OY14" s="499"/>
      <c r="OZ14" s="499"/>
      <c r="PA14" s="499"/>
      <c r="PB14" s="499"/>
      <c r="PC14" s="499"/>
      <c r="PD14" s="499"/>
      <c r="PE14" s="499"/>
      <c r="PF14" s="499"/>
      <c r="PG14" s="499"/>
      <c r="PH14" s="499"/>
      <c r="PI14" s="499"/>
      <c r="PJ14" s="499"/>
      <c r="PK14" s="499"/>
      <c r="PL14" s="499"/>
      <c r="PM14" s="499"/>
      <c r="PN14" s="499"/>
      <c r="PO14" s="499"/>
      <c r="PP14" s="499"/>
      <c r="PQ14" s="499"/>
      <c r="PR14" s="499"/>
      <c r="PS14" s="499"/>
      <c r="PT14" s="499"/>
      <c r="PU14" s="499"/>
      <c r="PV14" s="499"/>
      <c r="PW14" s="499"/>
      <c r="PX14" s="499"/>
      <c r="PY14" s="499"/>
      <c r="PZ14" s="499"/>
      <c r="QA14" s="499"/>
      <c r="QB14" s="499"/>
      <c r="QC14" s="499"/>
      <c r="QD14" s="499"/>
      <c r="QE14" s="499"/>
      <c r="QF14" s="499"/>
      <c r="QG14" s="499"/>
      <c r="QH14" s="499"/>
      <c r="QI14" s="499"/>
      <c r="QJ14" s="499"/>
      <c r="QK14" s="499"/>
      <c r="QL14" s="499"/>
      <c r="QM14" s="499"/>
      <c r="QN14" s="499"/>
      <c r="QO14" s="499"/>
      <c r="QP14" s="499"/>
      <c r="QQ14" s="499"/>
      <c r="QR14" s="499"/>
      <c r="QS14" s="499"/>
      <c r="QT14" s="499"/>
      <c r="QU14" s="499"/>
      <c r="QV14" s="499"/>
      <c r="QW14" s="499"/>
      <c r="QX14" s="499"/>
      <c r="QY14" s="499"/>
      <c r="QZ14" s="499"/>
      <c r="RA14" s="499"/>
      <c r="RB14" s="499"/>
      <c r="RC14" s="499"/>
      <c r="RD14" s="499"/>
      <c r="RE14" s="499"/>
      <c r="RF14" s="499"/>
      <c r="RG14" s="499"/>
      <c r="RH14" s="499"/>
      <c r="RI14" s="499"/>
      <c r="RJ14" s="499"/>
      <c r="RK14" s="499"/>
      <c r="RL14" s="499"/>
      <c r="RM14" s="499"/>
      <c r="RN14" s="499"/>
      <c r="RO14" s="499"/>
      <c r="RP14" s="499"/>
      <c r="RQ14" s="499"/>
      <c r="RR14" s="499"/>
      <c r="RS14" s="499"/>
      <c r="RT14" s="499"/>
      <c r="RU14" s="499"/>
      <c r="RV14" s="499"/>
      <c r="RW14" s="499"/>
      <c r="RX14" s="499"/>
      <c r="RY14" s="499"/>
      <c r="RZ14" s="499"/>
      <c r="SA14" s="499"/>
      <c r="SB14" s="499"/>
      <c r="SC14" s="499"/>
      <c r="SD14" s="499"/>
      <c r="SE14" s="499"/>
      <c r="SF14" s="499"/>
      <c r="SG14" s="499"/>
      <c r="SH14" s="499"/>
      <c r="SI14" s="499"/>
      <c r="SJ14" s="499"/>
      <c r="SK14" s="499"/>
      <c r="SL14" s="499"/>
      <c r="SM14" s="499"/>
      <c r="SN14" s="499"/>
      <c r="SO14" s="499"/>
      <c r="SP14" s="499"/>
      <c r="SQ14" s="499"/>
      <c r="SR14" s="499"/>
      <c r="SS14" s="499"/>
      <c r="ST14" s="499"/>
      <c r="SU14" s="499"/>
      <c r="SV14" s="499"/>
      <c r="SW14" s="499"/>
      <c r="SX14" s="499"/>
      <c r="SY14" s="499"/>
      <c r="SZ14" s="499"/>
      <c r="TA14" s="499"/>
      <c r="TB14" s="499"/>
      <c r="TC14" s="499"/>
      <c r="TD14" s="499"/>
      <c r="TE14" s="499"/>
      <c r="TF14" s="499"/>
      <c r="TG14" s="499"/>
      <c r="TH14" s="499"/>
      <c r="TI14" s="499"/>
      <c r="TJ14" s="499"/>
      <c r="TK14" s="499"/>
      <c r="TL14" s="499"/>
      <c r="TM14" s="499"/>
      <c r="TN14" s="499"/>
      <c r="TO14" s="499"/>
      <c r="TP14" s="499"/>
      <c r="TQ14" s="499"/>
      <c r="TR14" s="499"/>
      <c r="TS14" s="499"/>
      <c r="TT14" s="499"/>
      <c r="TU14" s="499"/>
      <c r="TV14" s="499"/>
      <c r="TW14" s="499"/>
      <c r="TX14" s="499"/>
      <c r="TY14" s="499"/>
      <c r="TZ14" s="499"/>
      <c r="UA14" s="499"/>
      <c r="UB14" s="499"/>
      <c r="UC14" s="499"/>
      <c r="UD14" s="499"/>
      <c r="UE14" s="499"/>
      <c r="UF14" s="499"/>
      <c r="UG14" s="499"/>
      <c r="UH14" s="499"/>
      <c r="UI14" s="499"/>
      <c r="UJ14" s="499"/>
      <c r="UK14" s="499"/>
      <c r="UL14" s="499"/>
      <c r="UM14" s="499"/>
      <c r="UN14" s="499"/>
      <c r="UO14" s="499"/>
      <c r="UP14" s="499"/>
      <c r="UQ14" s="499"/>
      <c r="UR14" s="499"/>
      <c r="US14" s="499"/>
      <c r="UT14" s="499"/>
      <c r="UU14" s="499"/>
      <c r="UV14" s="499"/>
      <c r="UW14" s="499"/>
      <c r="UX14" s="499"/>
      <c r="UY14" s="499"/>
      <c r="UZ14" s="499"/>
      <c r="VA14" s="499"/>
      <c r="VB14" s="499"/>
      <c r="VC14" s="499"/>
      <c r="VD14" s="499"/>
      <c r="VE14" s="499"/>
      <c r="VF14" s="499"/>
      <c r="VG14" s="499"/>
      <c r="VH14" s="499"/>
      <c r="VI14" s="499"/>
      <c r="VJ14" s="499"/>
      <c r="VK14" s="499"/>
      <c r="VL14" s="499"/>
      <c r="VM14" s="499"/>
      <c r="VN14" s="499"/>
      <c r="VO14" s="499"/>
      <c r="VP14" s="499"/>
      <c r="VQ14" s="499"/>
      <c r="VR14" s="499"/>
      <c r="VS14" s="499"/>
      <c r="VT14" s="499"/>
      <c r="VU14" s="499"/>
      <c r="VV14" s="499"/>
      <c r="VW14" s="499"/>
      <c r="VX14" s="499"/>
      <c r="VY14" s="499"/>
      <c r="VZ14" s="499"/>
      <c r="WA14" s="499"/>
      <c r="WB14" s="499"/>
      <c r="WC14" s="499"/>
      <c r="WD14" s="499"/>
      <c r="WE14" s="499"/>
      <c r="WF14" s="499"/>
    </row>
    <row r="15" spans="1:604" s="498" customFormat="1" ht="45" customHeight="1" x14ac:dyDescent="0.2">
      <c r="A15" s="486"/>
      <c r="B15" s="486"/>
      <c r="C15" s="450" t="s">
        <v>21</v>
      </c>
      <c r="D15" s="450" t="s">
        <v>191</v>
      </c>
      <c r="E15" s="441" t="s">
        <v>215</v>
      </c>
      <c r="F15" s="442" t="s">
        <v>446</v>
      </c>
      <c r="G15" s="437">
        <v>1</v>
      </c>
      <c r="H15" s="440" t="s">
        <v>328</v>
      </c>
      <c r="I15" s="476">
        <f>'CPU-II'!H30</f>
        <v>9894.4</v>
      </c>
      <c r="J15" s="439">
        <f>ROUND(I15*(1+$J$9),2)</f>
        <v>12611.4</v>
      </c>
      <c r="K15" s="476">
        <f t="shared" si="0"/>
        <v>12611.4</v>
      </c>
      <c r="L15" s="478"/>
      <c r="M15" s="676"/>
      <c r="N15" s="679"/>
      <c r="O15" s="679"/>
      <c r="P15" s="679"/>
      <c r="Q15" s="499"/>
      <c r="R15" s="499"/>
      <c r="S15" s="499"/>
      <c r="T15" s="499"/>
      <c r="U15" s="499"/>
      <c r="V15" s="499"/>
      <c r="W15" s="499"/>
      <c r="X15" s="499"/>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9"/>
      <c r="AV15" s="499"/>
      <c r="AW15" s="499"/>
      <c r="AX15" s="499"/>
      <c r="AY15" s="499"/>
      <c r="AZ15" s="499"/>
      <c r="BA15" s="499"/>
      <c r="BB15" s="499"/>
      <c r="BC15" s="499"/>
      <c r="BD15" s="499"/>
      <c r="BE15" s="499"/>
      <c r="BF15" s="499"/>
      <c r="BG15" s="499"/>
      <c r="BH15" s="499"/>
      <c r="BI15" s="499"/>
      <c r="BJ15" s="499"/>
      <c r="BK15" s="499"/>
      <c r="BL15" s="499"/>
      <c r="BM15" s="499"/>
      <c r="BN15" s="499"/>
      <c r="BO15" s="499"/>
      <c r="BP15" s="499"/>
      <c r="BQ15" s="499"/>
      <c r="BR15" s="499"/>
      <c r="BS15" s="499"/>
      <c r="BT15" s="499"/>
      <c r="BU15" s="499"/>
      <c r="BV15" s="499"/>
      <c r="BW15" s="499"/>
      <c r="BX15" s="499"/>
      <c r="BY15" s="499"/>
      <c r="BZ15" s="499"/>
      <c r="CA15" s="499"/>
      <c r="CB15" s="499"/>
      <c r="CC15" s="499"/>
      <c r="CD15" s="499"/>
      <c r="CE15" s="499"/>
      <c r="CF15" s="499"/>
      <c r="CG15" s="499"/>
      <c r="CH15" s="499"/>
      <c r="CI15" s="499"/>
      <c r="CJ15" s="499"/>
      <c r="CK15" s="499"/>
      <c r="CL15" s="499"/>
      <c r="CM15" s="499"/>
      <c r="CN15" s="499"/>
      <c r="CO15" s="499"/>
      <c r="CP15" s="499"/>
      <c r="CQ15" s="499"/>
      <c r="CR15" s="499"/>
      <c r="CS15" s="499"/>
      <c r="CT15" s="499"/>
      <c r="CU15" s="499"/>
      <c r="CV15" s="499"/>
      <c r="CW15" s="499"/>
      <c r="CX15" s="499"/>
      <c r="CY15" s="499"/>
      <c r="CZ15" s="499"/>
      <c r="DA15" s="499"/>
      <c r="DB15" s="499"/>
      <c r="DC15" s="499"/>
      <c r="DD15" s="499"/>
      <c r="DE15" s="499"/>
      <c r="DF15" s="499"/>
      <c r="DG15" s="499"/>
      <c r="DH15" s="499"/>
      <c r="DI15" s="499"/>
      <c r="DJ15" s="499"/>
      <c r="DK15" s="499"/>
      <c r="DL15" s="499"/>
      <c r="DM15" s="499"/>
      <c r="DN15" s="499"/>
      <c r="DO15" s="499"/>
      <c r="DP15" s="499"/>
      <c r="DQ15" s="499"/>
      <c r="DR15" s="499"/>
      <c r="DS15" s="499"/>
      <c r="DT15" s="499"/>
      <c r="DU15" s="499"/>
      <c r="DV15" s="499"/>
      <c r="DW15" s="499"/>
      <c r="DX15" s="499"/>
      <c r="DY15" s="499"/>
      <c r="DZ15" s="499"/>
      <c r="EA15" s="499"/>
      <c r="EB15" s="499"/>
      <c r="EC15" s="499"/>
      <c r="ED15" s="499"/>
      <c r="EE15" s="499"/>
      <c r="EF15" s="499"/>
      <c r="EG15" s="499"/>
      <c r="EH15" s="499"/>
      <c r="EI15" s="499"/>
      <c r="EJ15" s="499"/>
      <c r="EK15" s="499"/>
      <c r="EL15" s="499"/>
      <c r="EM15" s="499"/>
      <c r="EN15" s="499"/>
      <c r="EO15" s="499"/>
      <c r="EP15" s="499"/>
      <c r="EQ15" s="499"/>
      <c r="ER15" s="499"/>
      <c r="ES15" s="499"/>
      <c r="ET15" s="499"/>
      <c r="EU15" s="499"/>
      <c r="EV15" s="499"/>
      <c r="EW15" s="499"/>
      <c r="EX15" s="499"/>
      <c r="EY15" s="499"/>
      <c r="EZ15" s="499"/>
      <c r="FA15" s="499"/>
      <c r="FB15" s="499"/>
      <c r="FC15" s="499"/>
      <c r="FD15" s="499"/>
      <c r="FE15" s="499"/>
      <c r="FF15" s="499"/>
      <c r="FG15" s="499"/>
      <c r="FH15" s="499"/>
      <c r="FI15" s="499"/>
      <c r="FJ15" s="499"/>
      <c r="FK15" s="499"/>
      <c r="FL15" s="499"/>
      <c r="FM15" s="499"/>
      <c r="FN15" s="499"/>
      <c r="FO15" s="499"/>
      <c r="FP15" s="499"/>
      <c r="FQ15" s="499"/>
      <c r="FR15" s="499"/>
      <c r="FS15" s="499"/>
      <c r="FT15" s="499"/>
      <c r="FU15" s="499"/>
      <c r="FV15" s="499"/>
      <c r="FW15" s="499"/>
      <c r="FX15" s="499"/>
      <c r="FY15" s="499"/>
      <c r="FZ15" s="499"/>
      <c r="GA15" s="499"/>
      <c r="GB15" s="499"/>
      <c r="GC15" s="499"/>
      <c r="GD15" s="499"/>
      <c r="GE15" s="499"/>
      <c r="GF15" s="499"/>
      <c r="GG15" s="499"/>
      <c r="GH15" s="499"/>
      <c r="GI15" s="499"/>
      <c r="GJ15" s="499"/>
      <c r="GK15" s="499"/>
      <c r="GL15" s="499"/>
      <c r="GM15" s="499"/>
      <c r="GN15" s="499"/>
      <c r="GO15" s="499"/>
      <c r="GP15" s="499"/>
      <c r="GQ15" s="499"/>
      <c r="GR15" s="499"/>
      <c r="GS15" s="499"/>
      <c r="GT15" s="499"/>
      <c r="GU15" s="499"/>
      <c r="GV15" s="499"/>
      <c r="GW15" s="499"/>
      <c r="GX15" s="499"/>
      <c r="GY15" s="499"/>
      <c r="GZ15" s="499"/>
      <c r="HA15" s="499"/>
      <c r="HB15" s="499"/>
      <c r="HC15" s="499"/>
      <c r="HD15" s="499"/>
      <c r="HE15" s="499"/>
      <c r="HF15" s="499"/>
      <c r="HG15" s="499"/>
      <c r="HH15" s="499"/>
      <c r="HI15" s="499"/>
      <c r="HJ15" s="499"/>
      <c r="HK15" s="499"/>
      <c r="HL15" s="499"/>
      <c r="HM15" s="499"/>
      <c r="HN15" s="499"/>
      <c r="HO15" s="499"/>
      <c r="HP15" s="499"/>
      <c r="HQ15" s="499"/>
      <c r="HR15" s="499"/>
      <c r="HS15" s="499"/>
      <c r="HT15" s="499"/>
      <c r="HU15" s="499"/>
      <c r="HV15" s="499"/>
      <c r="HW15" s="499"/>
      <c r="HX15" s="499"/>
      <c r="HY15" s="499"/>
      <c r="HZ15" s="499"/>
      <c r="IA15" s="499"/>
      <c r="IB15" s="499"/>
      <c r="IC15" s="499"/>
      <c r="ID15" s="499"/>
      <c r="IE15" s="499"/>
      <c r="IF15" s="499"/>
      <c r="IG15" s="499"/>
      <c r="IH15" s="499"/>
      <c r="II15" s="499"/>
      <c r="IJ15" s="499"/>
      <c r="IK15" s="499"/>
      <c r="IL15" s="499"/>
      <c r="IM15" s="499"/>
      <c r="IN15" s="499"/>
      <c r="IO15" s="499"/>
      <c r="IP15" s="499"/>
      <c r="IQ15" s="499"/>
      <c r="IR15" s="499"/>
      <c r="IS15" s="499"/>
      <c r="IT15" s="499"/>
      <c r="IU15" s="499"/>
      <c r="IV15" s="499"/>
      <c r="IW15" s="499"/>
      <c r="IX15" s="499"/>
      <c r="IY15" s="499"/>
      <c r="IZ15" s="499"/>
      <c r="JA15" s="499"/>
      <c r="JB15" s="499"/>
      <c r="JC15" s="499"/>
      <c r="JD15" s="499"/>
      <c r="JE15" s="499"/>
      <c r="JF15" s="499"/>
      <c r="JG15" s="499"/>
      <c r="JH15" s="499"/>
      <c r="JI15" s="499"/>
      <c r="JJ15" s="499"/>
      <c r="JK15" s="499"/>
      <c r="JL15" s="499"/>
      <c r="JM15" s="499"/>
      <c r="JN15" s="499"/>
      <c r="JO15" s="499"/>
      <c r="JP15" s="499"/>
      <c r="JQ15" s="499"/>
      <c r="JR15" s="499"/>
      <c r="JS15" s="499"/>
      <c r="JT15" s="499"/>
      <c r="JU15" s="499"/>
      <c r="JV15" s="499"/>
      <c r="JW15" s="499"/>
      <c r="JX15" s="499"/>
      <c r="JY15" s="499"/>
      <c r="JZ15" s="499"/>
      <c r="KA15" s="499"/>
      <c r="KB15" s="499"/>
      <c r="KC15" s="499"/>
      <c r="KD15" s="499"/>
      <c r="KE15" s="499"/>
      <c r="KF15" s="499"/>
      <c r="KG15" s="499"/>
      <c r="KH15" s="499"/>
      <c r="KI15" s="499"/>
      <c r="KJ15" s="499"/>
      <c r="KK15" s="499"/>
      <c r="KL15" s="499"/>
      <c r="KM15" s="499"/>
      <c r="KN15" s="499"/>
      <c r="KO15" s="499"/>
      <c r="KP15" s="499"/>
      <c r="KQ15" s="499"/>
      <c r="KR15" s="499"/>
      <c r="KS15" s="499"/>
      <c r="KT15" s="499"/>
      <c r="KU15" s="499"/>
      <c r="KV15" s="499"/>
      <c r="KW15" s="499"/>
      <c r="KX15" s="499"/>
      <c r="KY15" s="499"/>
      <c r="KZ15" s="499"/>
      <c r="LA15" s="499"/>
      <c r="LB15" s="499"/>
      <c r="LC15" s="499"/>
      <c r="LD15" s="499"/>
      <c r="LE15" s="499"/>
      <c r="LF15" s="499"/>
      <c r="LG15" s="499"/>
      <c r="LH15" s="499"/>
      <c r="LI15" s="499"/>
      <c r="LJ15" s="499"/>
      <c r="LK15" s="499"/>
      <c r="LL15" s="499"/>
      <c r="LM15" s="499"/>
      <c r="LN15" s="499"/>
      <c r="LO15" s="499"/>
      <c r="LP15" s="499"/>
      <c r="LQ15" s="499"/>
      <c r="LR15" s="499"/>
      <c r="LS15" s="499"/>
      <c r="LT15" s="499"/>
      <c r="LU15" s="499"/>
      <c r="LV15" s="499"/>
      <c r="LW15" s="499"/>
      <c r="LX15" s="499"/>
      <c r="LY15" s="499"/>
      <c r="LZ15" s="499"/>
      <c r="MA15" s="499"/>
      <c r="MB15" s="499"/>
      <c r="MC15" s="499"/>
      <c r="MD15" s="499"/>
      <c r="ME15" s="499"/>
      <c r="MF15" s="499"/>
      <c r="MG15" s="499"/>
      <c r="MH15" s="499"/>
      <c r="MI15" s="499"/>
      <c r="MJ15" s="499"/>
      <c r="MK15" s="499"/>
      <c r="ML15" s="499"/>
      <c r="MM15" s="499"/>
      <c r="MN15" s="499"/>
      <c r="MO15" s="499"/>
      <c r="MP15" s="499"/>
      <c r="MQ15" s="499"/>
      <c r="MR15" s="499"/>
      <c r="MS15" s="499"/>
      <c r="MT15" s="499"/>
      <c r="MU15" s="499"/>
      <c r="MV15" s="499"/>
      <c r="MW15" s="499"/>
      <c r="MX15" s="499"/>
      <c r="MY15" s="499"/>
      <c r="MZ15" s="499"/>
      <c r="NA15" s="499"/>
      <c r="NB15" s="499"/>
      <c r="NC15" s="499"/>
      <c r="ND15" s="499"/>
      <c r="NE15" s="499"/>
      <c r="NF15" s="499"/>
      <c r="NG15" s="499"/>
      <c r="NH15" s="499"/>
      <c r="NI15" s="499"/>
      <c r="NJ15" s="499"/>
      <c r="NK15" s="499"/>
      <c r="NL15" s="499"/>
      <c r="NM15" s="499"/>
      <c r="NN15" s="499"/>
      <c r="NO15" s="499"/>
      <c r="NP15" s="499"/>
      <c r="NQ15" s="499"/>
      <c r="NR15" s="499"/>
      <c r="NS15" s="499"/>
      <c r="NT15" s="499"/>
      <c r="NU15" s="499"/>
      <c r="NV15" s="499"/>
      <c r="NW15" s="499"/>
      <c r="NX15" s="499"/>
      <c r="NY15" s="499"/>
      <c r="NZ15" s="499"/>
      <c r="OA15" s="499"/>
      <c r="OB15" s="499"/>
      <c r="OC15" s="499"/>
      <c r="OD15" s="499"/>
      <c r="OE15" s="499"/>
      <c r="OF15" s="499"/>
      <c r="OG15" s="499"/>
      <c r="OH15" s="499"/>
      <c r="OI15" s="499"/>
      <c r="OJ15" s="499"/>
      <c r="OK15" s="499"/>
      <c r="OL15" s="499"/>
      <c r="OM15" s="499"/>
      <c r="ON15" s="499"/>
      <c r="OO15" s="499"/>
      <c r="OP15" s="499"/>
      <c r="OQ15" s="499"/>
      <c r="OR15" s="499"/>
      <c r="OS15" s="499"/>
      <c r="OT15" s="499"/>
      <c r="OU15" s="499"/>
      <c r="OV15" s="499"/>
      <c r="OW15" s="499"/>
      <c r="OX15" s="499"/>
      <c r="OY15" s="499"/>
      <c r="OZ15" s="499"/>
      <c r="PA15" s="499"/>
      <c r="PB15" s="499"/>
      <c r="PC15" s="499"/>
      <c r="PD15" s="499"/>
      <c r="PE15" s="499"/>
      <c r="PF15" s="499"/>
      <c r="PG15" s="499"/>
      <c r="PH15" s="499"/>
      <c r="PI15" s="499"/>
      <c r="PJ15" s="499"/>
      <c r="PK15" s="499"/>
      <c r="PL15" s="499"/>
      <c r="PM15" s="499"/>
      <c r="PN15" s="499"/>
      <c r="PO15" s="499"/>
      <c r="PP15" s="499"/>
      <c r="PQ15" s="499"/>
      <c r="PR15" s="499"/>
      <c r="PS15" s="499"/>
      <c r="PT15" s="499"/>
      <c r="PU15" s="499"/>
      <c r="PV15" s="499"/>
      <c r="PW15" s="499"/>
      <c r="PX15" s="499"/>
      <c r="PY15" s="499"/>
      <c r="PZ15" s="499"/>
      <c r="QA15" s="499"/>
      <c r="QB15" s="499"/>
      <c r="QC15" s="499"/>
      <c r="QD15" s="499"/>
      <c r="QE15" s="499"/>
      <c r="QF15" s="499"/>
      <c r="QG15" s="499"/>
      <c r="QH15" s="499"/>
      <c r="QI15" s="499"/>
      <c r="QJ15" s="499"/>
      <c r="QK15" s="499"/>
      <c r="QL15" s="499"/>
      <c r="QM15" s="499"/>
      <c r="QN15" s="499"/>
      <c r="QO15" s="499"/>
      <c r="QP15" s="499"/>
      <c r="QQ15" s="499"/>
      <c r="QR15" s="499"/>
      <c r="QS15" s="499"/>
      <c r="QT15" s="499"/>
      <c r="QU15" s="499"/>
      <c r="QV15" s="499"/>
      <c r="QW15" s="499"/>
      <c r="QX15" s="499"/>
      <c r="QY15" s="499"/>
      <c r="QZ15" s="499"/>
      <c r="RA15" s="499"/>
      <c r="RB15" s="499"/>
      <c r="RC15" s="499"/>
      <c r="RD15" s="499"/>
      <c r="RE15" s="499"/>
      <c r="RF15" s="499"/>
      <c r="RG15" s="499"/>
      <c r="RH15" s="499"/>
      <c r="RI15" s="499"/>
      <c r="RJ15" s="499"/>
      <c r="RK15" s="499"/>
      <c r="RL15" s="499"/>
      <c r="RM15" s="499"/>
      <c r="RN15" s="499"/>
      <c r="RO15" s="499"/>
      <c r="RP15" s="499"/>
      <c r="RQ15" s="499"/>
      <c r="RR15" s="499"/>
      <c r="RS15" s="499"/>
      <c r="RT15" s="499"/>
      <c r="RU15" s="499"/>
      <c r="RV15" s="499"/>
      <c r="RW15" s="499"/>
      <c r="RX15" s="499"/>
      <c r="RY15" s="499"/>
      <c r="RZ15" s="499"/>
      <c r="SA15" s="499"/>
      <c r="SB15" s="499"/>
      <c r="SC15" s="499"/>
      <c r="SD15" s="499"/>
      <c r="SE15" s="499"/>
      <c r="SF15" s="499"/>
      <c r="SG15" s="499"/>
      <c r="SH15" s="499"/>
      <c r="SI15" s="499"/>
      <c r="SJ15" s="499"/>
      <c r="SK15" s="499"/>
      <c r="SL15" s="499"/>
      <c r="SM15" s="499"/>
      <c r="SN15" s="499"/>
      <c r="SO15" s="499"/>
      <c r="SP15" s="499"/>
      <c r="SQ15" s="499"/>
      <c r="SR15" s="499"/>
      <c r="SS15" s="499"/>
      <c r="ST15" s="499"/>
      <c r="SU15" s="499"/>
      <c r="SV15" s="499"/>
      <c r="SW15" s="499"/>
      <c r="SX15" s="499"/>
      <c r="SY15" s="499"/>
      <c r="SZ15" s="499"/>
      <c r="TA15" s="499"/>
      <c r="TB15" s="499"/>
      <c r="TC15" s="499"/>
      <c r="TD15" s="499"/>
      <c r="TE15" s="499"/>
      <c r="TF15" s="499"/>
      <c r="TG15" s="499"/>
      <c r="TH15" s="499"/>
      <c r="TI15" s="499"/>
      <c r="TJ15" s="499"/>
      <c r="TK15" s="499"/>
      <c r="TL15" s="499"/>
      <c r="TM15" s="499"/>
      <c r="TN15" s="499"/>
      <c r="TO15" s="499"/>
      <c r="TP15" s="499"/>
      <c r="TQ15" s="499"/>
      <c r="TR15" s="499"/>
      <c r="TS15" s="499"/>
      <c r="TT15" s="499"/>
      <c r="TU15" s="499"/>
      <c r="TV15" s="499"/>
      <c r="TW15" s="499"/>
      <c r="TX15" s="499"/>
      <c r="TY15" s="499"/>
      <c r="TZ15" s="499"/>
      <c r="UA15" s="499"/>
      <c r="UB15" s="499"/>
      <c r="UC15" s="499"/>
      <c r="UD15" s="499"/>
      <c r="UE15" s="499"/>
      <c r="UF15" s="499"/>
      <c r="UG15" s="499"/>
      <c r="UH15" s="499"/>
      <c r="UI15" s="499"/>
      <c r="UJ15" s="499"/>
      <c r="UK15" s="499"/>
      <c r="UL15" s="499"/>
      <c r="UM15" s="499"/>
      <c r="UN15" s="499"/>
      <c r="UO15" s="499"/>
      <c r="UP15" s="499"/>
      <c r="UQ15" s="499"/>
      <c r="UR15" s="499"/>
      <c r="US15" s="499"/>
      <c r="UT15" s="499"/>
      <c r="UU15" s="499"/>
      <c r="UV15" s="499"/>
      <c r="UW15" s="499"/>
      <c r="UX15" s="499"/>
      <c r="UY15" s="499"/>
      <c r="UZ15" s="499"/>
      <c r="VA15" s="499"/>
      <c r="VB15" s="499"/>
      <c r="VC15" s="499"/>
      <c r="VD15" s="499"/>
      <c r="VE15" s="499"/>
      <c r="VF15" s="499"/>
      <c r="VG15" s="499"/>
      <c r="VH15" s="499"/>
      <c r="VI15" s="499"/>
      <c r="VJ15" s="499"/>
      <c r="VK15" s="499"/>
      <c r="VL15" s="499"/>
      <c r="VM15" s="499"/>
      <c r="VN15" s="499"/>
      <c r="VO15" s="499"/>
      <c r="VP15" s="499"/>
      <c r="VQ15" s="499"/>
      <c r="VR15" s="499"/>
      <c r="VS15" s="499"/>
      <c r="VT15" s="499"/>
      <c r="VU15" s="499"/>
      <c r="VV15" s="499"/>
      <c r="VW15" s="499"/>
      <c r="VX15" s="499"/>
      <c r="VY15" s="499"/>
      <c r="VZ15" s="499"/>
      <c r="WA15" s="499"/>
      <c r="WB15" s="499"/>
      <c r="WC15" s="499"/>
      <c r="WD15" s="499"/>
      <c r="WE15" s="499"/>
      <c r="WF15" s="499"/>
    </row>
    <row r="16" spans="1:604" ht="27.95" customHeight="1" x14ac:dyDescent="0.2">
      <c r="A16" s="486"/>
      <c r="B16" s="486"/>
      <c r="C16" s="691" t="s">
        <v>10</v>
      </c>
      <c r="D16" s="691"/>
      <c r="E16" s="691"/>
      <c r="F16" s="691"/>
      <c r="G16" s="691"/>
      <c r="H16" s="691"/>
      <c r="I16" s="691"/>
      <c r="J16" s="691"/>
      <c r="K16" s="488">
        <f>SUM(K11:K15)</f>
        <v>13831.32</v>
      </c>
      <c r="L16" s="478"/>
      <c r="M16" s="676"/>
      <c r="N16" s="675"/>
      <c r="O16" s="675"/>
      <c r="P16" s="675"/>
      <c r="Q16" s="478"/>
      <c r="R16" s="478"/>
      <c r="S16" s="478"/>
      <c r="T16" s="478"/>
      <c r="U16" s="478"/>
      <c r="V16" s="478"/>
      <c r="W16" s="478"/>
      <c r="X16" s="478"/>
      <c r="Y16" s="478"/>
      <c r="Z16" s="478"/>
      <c r="AA16" s="478"/>
      <c r="AB16" s="478"/>
      <c r="AC16" s="478"/>
      <c r="AD16" s="478"/>
      <c r="AE16" s="478"/>
      <c r="AF16" s="478"/>
      <c r="AG16" s="478"/>
      <c r="AH16" s="478"/>
      <c r="AI16" s="478"/>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4"/>
      <c r="BZ16" s="444"/>
      <c r="CA16" s="444"/>
      <c r="CB16" s="444"/>
      <c r="CC16" s="444"/>
      <c r="CD16" s="444"/>
      <c r="CE16" s="444"/>
      <c r="CF16" s="444"/>
      <c r="CG16" s="444"/>
      <c r="CH16" s="444"/>
      <c r="CI16" s="444"/>
      <c r="CJ16" s="444"/>
      <c r="CK16" s="444"/>
      <c r="CL16" s="444"/>
      <c r="CM16" s="444"/>
      <c r="CN16" s="444"/>
      <c r="CO16" s="444"/>
      <c r="CP16" s="444"/>
      <c r="CQ16" s="444"/>
      <c r="CR16" s="444"/>
      <c r="CS16" s="444"/>
      <c r="CT16" s="444"/>
      <c r="CU16" s="444"/>
      <c r="CV16" s="444"/>
      <c r="CW16" s="444"/>
      <c r="CX16" s="444"/>
      <c r="CY16" s="444"/>
      <c r="CZ16" s="444"/>
      <c r="DA16" s="444"/>
      <c r="DB16" s="444"/>
      <c r="DC16" s="444"/>
      <c r="DD16" s="444"/>
      <c r="DE16" s="444"/>
      <c r="DF16" s="444"/>
      <c r="DG16" s="444"/>
      <c r="DH16" s="444"/>
      <c r="DI16" s="444"/>
      <c r="DJ16" s="444"/>
      <c r="DK16" s="444"/>
      <c r="DL16" s="444"/>
      <c r="DM16" s="444"/>
      <c r="DN16" s="444"/>
      <c r="DO16" s="444"/>
      <c r="DP16" s="444"/>
      <c r="DQ16" s="444"/>
      <c r="DR16" s="444"/>
      <c r="DS16" s="444"/>
      <c r="DT16" s="444"/>
      <c r="DU16" s="444"/>
      <c r="DV16" s="444"/>
      <c r="DW16" s="444"/>
      <c r="DX16" s="444"/>
      <c r="DY16" s="444"/>
      <c r="DZ16" s="444"/>
      <c r="EA16" s="444"/>
      <c r="EB16" s="444"/>
      <c r="EC16" s="444"/>
      <c r="ED16" s="444"/>
      <c r="EE16" s="444"/>
      <c r="EF16" s="444"/>
      <c r="EG16" s="444"/>
      <c r="EH16" s="444"/>
      <c r="EI16" s="444"/>
      <c r="EJ16" s="444"/>
      <c r="EK16" s="444"/>
      <c r="EL16" s="444"/>
      <c r="EM16" s="444"/>
      <c r="EN16" s="444"/>
      <c r="EO16" s="444"/>
      <c r="EP16" s="444"/>
      <c r="EQ16" s="444"/>
      <c r="ER16" s="444"/>
      <c r="ES16" s="444"/>
      <c r="ET16" s="444"/>
      <c r="EU16" s="444"/>
      <c r="EV16" s="444"/>
      <c r="EW16" s="444"/>
      <c r="EX16" s="444"/>
      <c r="EY16" s="444"/>
      <c r="EZ16" s="444"/>
      <c r="FA16" s="444"/>
      <c r="FB16" s="444"/>
      <c r="FC16" s="444"/>
      <c r="FD16" s="444"/>
      <c r="FE16" s="444"/>
      <c r="FF16" s="444"/>
      <c r="FG16" s="444"/>
      <c r="FH16" s="444"/>
      <c r="FI16" s="444"/>
      <c r="FJ16" s="444"/>
      <c r="FK16" s="444"/>
      <c r="FL16" s="444"/>
      <c r="FM16" s="444"/>
      <c r="FN16" s="444"/>
      <c r="FO16" s="444"/>
      <c r="FP16" s="444"/>
      <c r="FQ16" s="444"/>
      <c r="FR16" s="444"/>
      <c r="FS16" s="444"/>
      <c r="FT16" s="444"/>
      <c r="FU16" s="444"/>
      <c r="FV16" s="444"/>
      <c r="FW16" s="444"/>
      <c r="FX16" s="444"/>
      <c r="FY16" s="444"/>
      <c r="FZ16" s="444"/>
      <c r="GA16" s="444"/>
      <c r="GB16" s="444"/>
      <c r="GC16" s="444"/>
      <c r="GD16" s="444"/>
      <c r="GE16" s="444"/>
      <c r="GF16" s="444"/>
      <c r="GG16" s="444"/>
      <c r="GH16" s="444"/>
      <c r="GI16" s="444"/>
      <c r="GJ16" s="444"/>
      <c r="GK16" s="444"/>
      <c r="GL16" s="444"/>
      <c r="GM16" s="444"/>
      <c r="GN16" s="444"/>
      <c r="GO16" s="444"/>
      <c r="GP16" s="444"/>
      <c r="GQ16" s="444"/>
      <c r="GR16" s="444"/>
      <c r="GS16" s="444"/>
      <c r="GT16" s="444"/>
      <c r="GU16" s="444"/>
      <c r="GV16" s="444"/>
      <c r="GW16" s="444"/>
      <c r="GX16" s="444"/>
      <c r="GY16" s="444"/>
      <c r="GZ16" s="444"/>
      <c r="HA16" s="444"/>
      <c r="HB16" s="444"/>
      <c r="HC16" s="444"/>
      <c r="HD16" s="444"/>
      <c r="HE16" s="444"/>
      <c r="HF16" s="444"/>
      <c r="HG16" s="444"/>
      <c r="HH16" s="444"/>
      <c r="HI16" s="444"/>
      <c r="HJ16" s="444"/>
      <c r="HK16" s="444"/>
      <c r="HL16" s="444"/>
      <c r="HM16" s="444"/>
      <c r="HN16" s="444"/>
      <c r="HO16" s="444"/>
      <c r="HP16" s="444"/>
      <c r="HQ16" s="444"/>
      <c r="HR16" s="444"/>
      <c r="HS16" s="444"/>
      <c r="HT16" s="444"/>
      <c r="HU16" s="444"/>
      <c r="HV16" s="444"/>
      <c r="HW16" s="444"/>
      <c r="HX16" s="444"/>
      <c r="HY16" s="444"/>
      <c r="HZ16" s="444"/>
      <c r="IA16" s="444"/>
      <c r="IB16" s="444"/>
      <c r="IC16" s="444"/>
      <c r="ID16" s="444"/>
      <c r="IE16" s="444"/>
      <c r="IF16" s="444"/>
      <c r="IG16" s="444"/>
      <c r="IH16" s="444"/>
      <c r="II16" s="444"/>
      <c r="IJ16" s="444"/>
      <c r="IK16" s="444"/>
      <c r="IL16" s="444"/>
      <c r="IM16" s="444"/>
      <c r="IN16" s="444"/>
      <c r="IO16" s="444"/>
      <c r="IP16" s="444"/>
      <c r="IQ16" s="444"/>
      <c r="IR16" s="444"/>
      <c r="IS16" s="444"/>
      <c r="IT16" s="444"/>
      <c r="IU16" s="444"/>
      <c r="IV16" s="444"/>
      <c r="IW16" s="444"/>
      <c r="IX16" s="444"/>
      <c r="IY16" s="444"/>
      <c r="IZ16" s="444"/>
      <c r="JA16" s="444"/>
      <c r="JB16" s="444"/>
      <c r="JC16" s="444"/>
      <c r="JD16" s="444"/>
      <c r="JE16" s="444"/>
      <c r="JF16" s="444"/>
      <c r="JG16" s="444"/>
      <c r="JH16" s="444"/>
      <c r="JI16" s="444"/>
      <c r="JJ16" s="444"/>
      <c r="JK16" s="444"/>
      <c r="JL16" s="444"/>
      <c r="JM16" s="444"/>
      <c r="JN16" s="444"/>
      <c r="JO16" s="444"/>
      <c r="JP16" s="444"/>
      <c r="JQ16" s="444"/>
      <c r="JR16" s="444"/>
      <c r="JS16" s="444"/>
      <c r="JT16" s="444"/>
      <c r="JU16" s="444"/>
      <c r="JV16" s="444"/>
      <c r="JW16" s="444"/>
      <c r="JX16" s="444"/>
      <c r="JY16" s="444"/>
      <c r="JZ16" s="444"/>
      <c r="KA16" s="444"/>
      <c r="KB16" s="444"/>
      <c r="KC16" s="444"/>
      <c r="KD16" s="444"/>
      <c r="KE16" s="444"/>
      <c r="KF16" s="444"/>
      <c r="KG16" s="444"/>
      <c r="KH16" s="444"/>
      <c r="KI16" s="444"/>
      <c r="KJ16" s="444"/>
      <c r="KK16" s="444"/>
      <c r="KL16" s="444"/>
      <c r="KM16" s="444"/>
      <c r="KN16" s="444"/>
      <c r="KO16" s="444"/>
      <c r="KP16" s="444"/>
      <c r="KQ16" s="444"/>
      <c r="KR16" s="444"/>
      <c r="KS16" s="444"/>
      <c r="KT16" s="444"/>
      <c r="KU16" s="444"/>
      <c r="KV16" s="444"/>
      <c r="KW16" s="444"/>
      <c r="KX16" s="444"/>
      <c r="KY16" s="444"/>
      <c r="KZ16" s="444"/>
      <c r="LA16" s="444"/>
      <c r="LB16" s="444"/>
      <c r="LC16" s="444"/>
      <c r="LD16" s="444"/>
      <c r="LE16" s="444"/>
      <c r="LF16" s="444"/>
      <c r="LG16" s="444"/>
      <c r="LH16" s="444"/>
      <c r="LI16" s="444"/>
      <c r="LJ16" s="444"/>
      <c r="LK16" s="444"/>
      <c r="LL16" s="444"/>
      <c r="LM16" s="444"/>
      <c r="LN16" s="444"/>
      <c r="LO16" s="444"/>
      <c r="LP16" s="444"/>
      <c r="LQ16" s="444"/>
      <c r="LR16" s="444"/>
      <c r="LS16" s="444"/>
      <c r="LT16" s="444"/>
      <c r="LU16" s="444"/>
      <c r="LV16" s="444"/>
      <c r="LW16" s="444"/>
      <c r="LX16" s="444"/>
      <c r="LY16" s="444"/>
      <c r="LZ16" s="444"/>
      <c r="MA16" s="444"/>
      <c r="MB16" s="444"/>
      <c r="MC16" s="444"/>
      <c r="MD16" s="444"/>
      <c r="ME16" s="444"/>
      <c r="MF16" s="444"/>
      <c r="MG16" s="444"/>
      <c r="MH16" s="444"/>
      <c r="MI16" s="444"/>
      <c r="MJ16" s="444"/>
      <c r="MK16" s="444"/>
      <c r="ML16" s="444"/>
      <c r="MM16" s="444"/>
      <c r="MN16" s="444"/>
      <c r="MO16" s="444"/>
      <c r="MP16" s="444"/>
      <c r="MQ16" s="444"/>
      <c r="MR16" s="444"/>
      <c r="MS16" s="444"/>
      <c r="MT16" s="444"/>
      <c r="MU16" s="444"/>
      <c r="MV16" s="444"/>
      <c r="MW16" s="444"/>
      <c r="MX16" s="444"/>
      <c r="MY16" s="444"/>
      <c r="MZ16" s="444"/>
      <c r="NA16" s="444"/>
      <c r="NB16" s="444"/>
      <c r="NC16" s="444"/>
      <c r="ND16" s="444"/>
      <c r="NE16" s="444"/>
      <c r="NF16" s="444"/>
      <c r="NG16" s="444"/>
      <c r="NH16" s="444"/>
      <c r="NI16" s="444"/>
      <c r="NJ16" s="444"/>
      <c r="NK16" s="444"/>
      <c r="NL16" s="444"/>
      <c r="NM16" s="444"/>
      <c r="NN16" s="444"/>
      <c r="NO16" s="444"/>
      <c r="NP16" s="444"/>
      <c r="NQ16" s="444"/>
      <c r="NR16" s="444"/>
      <c r="NS16" s="444"/>
      <c r="NT16" s="444"/>
      <c r="NU16" s="444"/>
      <c r="NV16" s="444"/>
      <c r="NW16" s="444"/>
      <c r="NX16" s="444"/>
      <c r="NY16" s="444"/>
      <c r="NZ16" s="444"/>
      <c r="OA16" s="444"/>
      <c r="OB16" s="444"/>
      <c r="OC16" s="444"/>
      <c r="OD16" s="444"/>
      <c r="OE16" s="444"/>
      <c r="OF16" s="444"/>
      <c r="OG16" s="444"/>
      <c r="OH16" s="444"/>
      <c r="OI16" s="444"/>
      <c r="OJ16" s="444"/>
      <c r="OK16" s="444"/>
      <c r="OL16" s="444"/>
      <c r="OM16" s="444"/>
      <c r="ON16" s="444"/>
      <c r="OO16" s="444"/>
      <c r="OP16" s="444"/>
      <c r="OQ16" s="444"/>
      <c r="OR16" s="444"/>
      <c r="OS16" s="444"/>
      <c r="OT16" s="444"/>
      <c r="OU16" s="444"/>
      <c r="OV16" s="444"/>
      <c r="OW16" s="444"/>
      <c r="OX16" s="444"/>
      <c r="OY16" s="444"/>
      <c r="OZ16" s="444"/>
      <c r="PA16" s="444"/>
      <c r="PB16" s="444"/>
      <c r="PC16" s="444"/>
      <c r="PD16" s="444"/>
      <c r="PE16" s="444"/>
      <c r="PF16" s="444"/>
      <c r="PG16" s="444"/>
      <c r="PH16" s="444"/>
      <c r="PI16" s="444"/>
      <c r="PJ16" s="444"/>
      <c r="PK16" s="444"/>
      <c r="PL16" s="444"/>
      <c r="PM16" s="444"/>
      <c r="PN16" s="444"/>
      <c r="PO16" s="444"/>
      <c r="PP16" s="444"/>
      <c r="PQ16" s="444"/>
      <c r="PR16" s="444"/>
      <c r="PS16" s="444"/>
      <c r="PT16" s="444"/>
      <c r="PU16" s="444"/>
      <c r="PV16" s="444"/>
      <c r="PW16" s="444"/>
      <c r="PX16" s="444"/>
      <c r="PY16" s="444"/>
      <c r="PZ16" s="444"/>
      <c r="QA16" s="444"/>
      <c r="QB16" s="444"/>
      <c r="QC16" s="444"/>
      <c r="QD16" s="444"/>
      <c r="QE16" s="444"/>
      <c r="QF16" s="444"/>
      <c r="QG16" s="444"/>
      <c r="QH16" s="444"/>
      <c r="QI16" s="444"/>
      <c r="QJ16" s="444"/>
      <c r="QK16" s="444"/>
      <c r="QL16" s="444"/>
      <c r="QM16" s="444"/>
      <c r="QN16" s="444"/>
      <c r="QO16" s="444"/>
      <c r="QP16" s="444"/>
      <c r="QQ16" s="444"/>
      <c r="QR16" s="444"/>
      <c r="QS16" s="444"/>
      <c r="QT16" s="444"/>
      <c r="QU16" s="444"/>
      <c r="QV16" s="444"/>
      <c r="QW16" s="444"/>
      <c r="QX16" s="444"/>
      <c r="QY16" s="444"/>
      <c r="QZ16" s="444"/>
      <c r="RA16" s="444"/>
      <c r="RB16" s="444"/>
      <c r="RC16" s="444"/>
      <c r="RD16" s="444"/>
      <c r="RE16" s="444"/>
      <c r="RF16" s="444"/>
      <c r="RG16" s="444"/>
      <c r="RH16" s="444"/>
      <c r="RI16" s="444"/>
      <c r="RJ16" s="444"/>
      <c r="RK16" s="444"/>
      <c r="RL16" s="444"/>
      <c r="RM16" s="444"/>
      <c r="RN16" s="444"/>
      <c r="RO16" s="444"/>
      <c r="RP16" s="444"/>
      <c r="RQ16" s="444"/>
      <c r="RR16" s="444"/>
      <c r="RS16" s="444"/>
      <c r="RT16" s="444"/>
      <c r="RU16" s="444"/>
      <c r="RV16" s="444"/>
      <c r="RW16" s="444"/>
      <c r="RX16" s="444"/>
      <c r="RY16" s="444"/>
      <c r="RZ16" s="444"/>
      <c r="SA16" s="444"/>
      <c r="SB16" s="444"/>
      <c r="SC16" s="444"/>
      <c r="SD16" s="444"/>
      <c r="SE16" s="444"/>
      <c r="SF16" s="444"/>
      <c r="SG16" s="444"/>
      <c r="SH16" s="444"/>
      <c r="SI16" s="444"/>
      <c r="SJ16" s="444"/>
      <c r="SK16" s="444"/>
      <c r="SL16" s="444"/>
      <c r="SM16" s="444"/>
      <c r="SN16" s="444"/>
      <c r="SO16" s="444"/>
      <c r="SP16" s="444"/>
      <c r="SQ16" s="444"/>
      <c r="SR16" s="444"/>
      <c r="SS16" s="444"/>
      <c r="ST16" s="444"/>
      <c r="SU16" s="444"/>
      <c r="SV16" s="444"/>
      <c r="SW16" s="444"/>
      <c r="SX16" s="444"/>
      <c r="SY16" s="444"/>
      <c r="SZ16" s="444"/>
      <c r="TA16" s="444"/>
      <c r="TB16" s="444"/>
      <c r="TC16" s="444"/>
      <c r="TD16" s="444"/>
      <c r="TE16" s="444"/>
      <c r="TF16" s="444"/>
      <c r="TG16" s="444"/>
      <c r="TH16" s="444"/>
      <c r="TI16" s="444"/>
      <c r="TJ16" s="444"/>
      <c r="TK16" s="444"/>
      <c r="TL16" s="444"/>
      <c r="TM16" s="444"/>
      <c r="TN16" s="444"/>
      <c r="TO16" s="444"/>
      <c r="TP16" s="444"/>
      <c r="TQ16" s="444"/>
      <c r="TR16" s="444"/>
      <c r="TS16" s="444"/>
      <c r="TT16" s="444"/>
      <c r="TU16" s="444"/>
      <c r="TV16" s="444"/>
      <c r="TW16" s="444"/>
      <c r="TX16" s="444"/>
      <c r="TY16" s="444"/>
      <c r="TZ16" s="444"/>
      <c r="UA16" s="444"/>
      <c r="UB16" s="444"/>
      <c r="UC16" s="444"/>
      <c r="UD16" s="444"/>
      <c r="UE16" s="444"/>
      <c r="UF16" s="444"/>
      <c r="UG16" s="444"/>
      <c r="UH16" s="444"/>
      <c r="UI16" s="444"/>
      <c r="UJ16" s="444"/>
      <c r="UK16" s="444"/>
      <c r="UL16" s="444"/>
      <c r="UM16" s="444"/>
      <c r="UN16" s="444"/>
      <c r="UO16" s="444"/>
      <c r="UP16" s="444"/>
      <c r="UQ16" s="444"/>
      <c r="UR16" s="444"/>
      <c r="US16" s="444"/>
      <c r="UT16" s="444"/>
      <c r="UU16" s="444"/>
      <c r="UV16" s="444"/>
      <c r="UW16" s="444"/>
      <c r="UX16" s="444"/>
      <c r="UY16" s="444"/>
      <c r="UZ16" s="444"/>
      <c r="VA16" s="444"/>
      <c r="VB16" s="444"/>
      <c r="VC16" s="444"/>
      <c r="VD16" s="444"/>
      <c r="VE16" s="444"/>
      <c r="VF16" s="444"/>
      <c r="VG16" s="444"/>
      <c r="VH16" s="444"/>
      <c r="VI16" s="444"/>
      <c r="VJ16" s="444"/>
      <c r="VK16" s="444"/>
      <c r="VL16" s="444"/>
      <c r="VM16" s="444"/>
      <c r="VN16" s="444"/>
      <c r="VO16" s="444"/>
      <c r="VP16" s="444"/>
      <c r="VQ16" s="444"/>
      <c r="VR16" s="444"/>
      <c r="VS16" s="444"/>
      <c r="VT16" s="444"/>
      <c r="VU16" s="444"/>
      <c r="VV16" s="444"/>
      <c r="VW16" s="444"/>
      <c r="VX16" s="444"/>
      <c r="VY16" s="444"/>
      <c r="VZ16" s="444"/>
      <c r="WA16" s="444"/>
      <c r="WB16" s="444"/>
      <c r="WC16" s="444"/>
      <c r="WD16" s="444"/>
      <c r="WE16" s="444"/>
      <c r="WF16" s="444"/>
    </row>
    <row r="17" spans="1:604" ht="27.95" hidden="1" customHeight="1" x14ac:dyDescent="0.2">
      <c r="A17" s="486"/>
      <c r="B17" s="486"/>
      <c r="C17" s="487">
        <v>2</v>
      </c>
      <c r="D17" s="682" t="s">
        <v>449</v>
      </c>
      <c r="E17" s="682"/>
      <c r="F17" s="682"/>
      <c r="G17" s="682"/>
      <c r="H17" s="682"/>
      <c r="I17" s="682"/>
      <c r="J17" s="682"/>
      <c r="K17" s="682"/>
      <c r="L17" s="478"/>
      <c r="M17" s="676"/>
      <c r="N17" s="675"/>
      <c r="O17" s="675"/>
      <c r="P17" s="675"/>
      <c r="Q17" s="478"/>
      <c r="R17" s="478"/>
      <c r="S17" s="478"/>
      <c r="T17" s="478"/>
      <c r="U17" s="478"/>
      <c r="V17" s="478"/>
      <c r="W17" s="478"/>
      <c r="X17" s="478"/>
      <c r="Y17" s="478"/>
      <c r="Z17" s="478"/>
      <c r="AA17" s="478"/>
      <c r="AB17" s="478"/>
      <c r="AC17" s="478"/>
      <c r="AD17" s="478"/>
      <c r="AE17" s="478"/>
      <c r="AF17" s="478"/>
      <c r="AG17" s="478"/>
      <c r="AH17" s="478"/>
      <c r="AI17" s="478"/>
      <c r="AJ17" s="444"/>
      <c r="AK17" s="444"/>
      <c r="AL17" s="444"/>
      <c r="AM17" s="444"/>
      <c r="AN17" s="444"/>
      <c r="AO17" s="444"/>
      <c r="AP17" s="444"/>
      <c r="AQ17" s="444"/>
      <c r="AR17" s="444"/>
      <c r="AS17" s="444"/>
      <c r="AT17" s="444"/>
      <c r="AU17" s="444"/>
      <c r="AV17" s="444"/>
      <c r="AW17" s="444"/>
      <c r="AX17" s="444"/>
      <c r="AY17" s="444"/>
      <c r="AZ17" s="444"/>
      <c r="BA17" s="444"/>
      <c r="BB17" s="444"/>
      <c r="BC17" s="444"/>
      <c r="BD17" s="444"/>
      <c r="BE17" s="444"/>
      <c r="BF17" s="444"/>
      <c r="BG17" s="444"/>
      <c r="BH17" s="444"/>
      <c r="BI17" s="444"/>
      <c r="BJ17" s="444"/>
      <c r="BK17" s="444"/>
      <c r="BL17" s="444"/>
      <c r="BM17" s="444"/>
      <c r="BN17" s="444"/>
      <c r="BO17" s="444"/>
      <c r="BP17" s="444"/>
      <c r="BQ17" s="444"/>
      <c r="BR17" s="444"/>
      <c r="BS17" s="444"/>
      <c r="BT17" s="444"/>
      <c r="BU17" s="444"/>
      <c r="BV17" s="444"/>
      <c r="BW17" s="444"/>
      <c r="BX17" s="444"/>
      <c r="BY17" s="444"/>
      <c r="BZ17" s="444"/>
      <c r="CA17" s="444"/>
      <c r="CB17" s="444"/>
      <c r="CC17" s="444"/>
      <c r="CD17" s="444"/>
      <c r="CE17" s="444"/>
      <c r="CF17" s="444"/>
      <c r="CG17" s="444"/>
      <c r="CH17" s="444"/>
      <c r="CI17" s="444"/>
      <c r="CJ17" s="444"/>
      <c r="CK17" s="444"/>
      <c r="CL17" s="444"/>
      <c r="CM17" s="444"/>
      <c r="CN17" s="444"/>
      <c r="CO17" s="444"/>
      <c r="CP17" s="444"/>
      <c r="CQ17" s="444"/>
      <c r="CR17" s="444"/>
      <c r="CS17" s="444"/>
      <c r="CT17" s="444"/>
      <c r="CU17" s="444"/>
      <c r="CV17" s="444"/>
      <c r="CW17" s="444"/>
      <c r="CX17" s="444"/>
      <c r="CY17" s="444"/>
      <c r="CZ17" s="444"/>
      <c r="DA17" s="444"/>
      <c r="DB17" s="444"/>
      <c r="DC17" s="444"/>
      <c r="DD17" s="444"/>
      <c r="DE17" s="444"/>
      <c r="DF17" s="444"/>
      <c r="DG17" s="444"/>
      <c r="DH17" s="444"/>
      <c r="DI17" s="444"/>
      <c r="DJ17" s="444"/>
      <c r="DK17" s="444"/>
      <c r="DL17" s="444"/>
      <c r="DM17" s="444"/>
      <c r="DN17" s="444"/>
      <c r="DO17" s="444"/>
      <c r="DP17" s="444"/>
      <c r="DQ17" s="444"/>
      <c r="DR17" s="444"/>
      <c r="DS17" s="444"/>
      <c r="DT17" s="444"/>
      <c r="DU17" s="444"/>
      <c r="DV17" s="444"/>
      <c r="DW17" s="444"/>
      <c r="DX17" s="444"/>
      <c r="DY17" s="444"/>
      <c r="DZ17" s="444"/>
      <c r="EA17" s="444"/>
      <c r="EB17" s="444"/>
      <c r="EC17" s="444"/>
      <c r="ED17" s="444"/>
      <c r="EE17" s="444"/>
      <c r="EF17" s="444"/>
      <c r="EG17" s="444"/>
      <c r="EH17" s="444"/>
      <c r="EI17" s="444"/>
      <c r="EJ17" s="444"/>
      <c r="EK17" s="444"/>
      <c r="EL17" s="444"/>
      <c r="EM17" s="444"/>
      <c r="EN17" s="444"/>
      <c r="EO17" s="444"/>
      <c r="EP17" s="444"/>
      <c r="EQ17" s="444"/>
      <c r="ER17" s="444"/>
      <c r="ES17" s="444"/>
      <c r="ET17" s="444"/>
      <c r="EU17" s="444"/>
      <c r="EV17" s="444"/>
      <c r="EW17" s="444"/>
      <c r="EX17" s="444"/>
      <c r="EY17" s="444"/>
      <c r="EZ17" s="444"/>
      <c r="FA17" s="444"/>
      <c r="FB17" s="444"/>
      <c r="FC17" s="444"/>
      <c r="FD17" s="444"/>
      <c r="FE17" s="444"/>
      <c r="FF17" s="444"/>
      <c r="FG17" s="444"/>
      <c r="FH17" s="444"/>
      <c r="FI17" s="444"/>
      <c r="FJ17" s="444"/>
      <c r="FK17" s="444"/>
      <c r="FL17" s="444"/>
      <c r="FM17" s="444"/>
      <c r="FN17" s="444"/>
      <c r="FO17" s="444"/>
      <c r="FP17" s="444"/>
      <c r="FQ17" s="444"/>
      <c r="FR17" s="444"/>
      <c r="FS17" s="444"/>
      <c r="FT17" s="444"/>
      <c r="FU17" s="444"/>
      <c r="FV17" s="444"/>
      <c r="FW17" s="444"/>
      <c r="FX17" s="444"/>
      <c r="FY17" s="444"/>
      <c r="FZ17" s="444"/>
      <c r="GA17" s="444"/>
      <c r="GB17" s="444"/>
      <c r="GC17" s="444"/>
      <c r="GD17" s="444"/>
      <c r="GE17" s="444"/>
      <c r="GF17" s="444"/>
      <c r="GG17" s="444"/>
      <c r="GH17" s="444"/>
      <c r="GI17" s="444"/>
      <c r="GJ17" s="444"/>
      <c r="GK17" s="444"/>
      <c r="GL17" s="444"/>
      <c r="GM17" s="444"/>
      <c r="GN17" s="444"/>
      <c r="GO17" s="444"/>
      <c r="GP17" s="444"/>
      <c r="GQ17" s="444"/>
      <c r="GR17" s="444"/>
      <c r="GS17" s="444"/>
      <c r="GT17" s="444"/>
      <c r="GU17" s="444"/>
      <c r="GV17" s="444"/>
      <c r="GW17" s="444"/>
      <c r="GX17" s="444"/>
      <c r="GY17" s="444"/>
      <c r="GZ17" s="444"/>
      <c r="HA17" s="444"/>
      <c r="HB17" s="444"/>
      <c r="HC17" s="444"/>
      <c r="HD17" s="444"/>
      <c r="HE17" s="444"/>
      <c r="HF17" s="444"/>
      <c r="HG17" s="444"/>
      <c r="HH17" s="444"/>
      <c r="HI17" s="444"/>
      <c r="HJ17" s="444"/>
      <c r="HK17" s="444"/>
      <c r="HL17" s="444"/>
      <c r="HM17" s="444"/>
      <c r="HN17" s="444"/>
      <c r="HO17" s="444"/>
      <c r="HP17" s="444"/>
      <c r="HQ17" s="444"/>
      <c r="HR17" s="444"/>
      <c r="HS17" s="444"/>
      <c r="HT17" s="444"/>
      <c r="HU17" s="444"/>
      <c r="HV17" s="444"/>
      <c r="HW17" s="444"/>
      <c r="HX17" s="444"/>
      <c r="HY17" s="444"/>
      <c r="HZ17" s="444"/>
      <c r="IA17" s="444"/>
      <c r="IB17" s="444"/>
      <c r="IC17" s="444"/>
      <c r="ID17" s="444"/>
      <c r="IE17" s="444"/>
      <c r="IF17" s="444"/>
      <c r="IG17" s="444"/>
      <c r="IH17" s="444"/>
      <c r="II17" s="444"/>
      <c r="IJ17" s="444"/>
      <c r="IK17" s="444"/>
      <c r="IL17" s="444"/>
      <c r="IM17" s="444"/>
      <c r="IN17" s="444"/>
      <c r="IO17" s="444"/>
      <c r="IP17" s="444"/>
      <c r="IQ17" s="444"/>
      <c r="IR17" s="444"/>
      <c r="IS17" s="444"/>
      <c r="IT17" s="444"/>
      <c r="IU17" s="444"/>
      <c r="IV17" s="444"/>
      <c r="IW17" s="444"/>
      <c r="IX17" s="444"/>
      <c r="IY17" s="444"/>
      <c r="IZ17" s="444"/>
      <c r="JA17" s="444"/>
      <c r="JB17" s="444"/>
      <c r="JC17" s="444"/>
      <c r="JD17" s="444"/>
      <c r="JE17" s="444"/>
      <c r="JF17" s="444"/>
      <c r="JG17" s="444"/>
      <c r="JH17" s="444"/>
      <c r="JI17" s="444"/>
      <c r="JJ17" s="444"/>
      <c r="JK17" s="444"/>
      <c r="JL17" s="444"/>
      <c r="JM17" s="444"/>
      <c r="JN17" s="444"/>
      <c r="JO17" s="444"/>
      <c r="JP17" s="444"/>
      <c r="JQ17" s="444"/>
      <c r="JR17" s="444"/>
      <c r="JS17" s="444"/>
      <c r="JT17" s="444"/>
      <c r="JU17" s="444"/>
      <c r="JV17" s="444"/>
      <c r="JW17" s="444"/>
      <c r="JX17" s="444"/>
      <c r="JY17" s="444"/>
      <c r="JZ17" s="444"/>
      <c r="KA17" s="444"/>
      <c r="KB17" s="444"/>
      <c r="KC17" s="444"/>
      <c r="KD17" s="444"/>
      <c r="KE17" s="444"/>
      <c r="KF17" s="444"/>
      <c r="KG17" s="444"/>
      <c r="KH17" s="444"/>
      <c r="KI17" s="444"/>
      <c r="KJ17" s="444"/>
      <c r="KK17" s="444"/>
      <c r="KL17" s="444"/>
      <c r="KM17" s="444"/>
      <c r="KN17" s="444"/>
      <c r="KO17" s="444"/>
      <c r="KP17" s="444"/>
      <c r="KQ17" s="444"/>
      <c r="KR17" s="444"/>
      <c r="KS17" s="444"/>
      <c r="KT17" s="444"/>
      <c r="KU17" s="444"/>
      <c r="KV17" s="444"/>
      <c r="KW17" s="444"/>
      <c r="KX17" s="444"/>
      <c r="KY17" s="444"/>
      <c r="KZ17" s="444"/>
      <c r="LA17" s="444"/>
      <c r="LB17" s="444"/>
      <c r="LC17" s="444"/>
      <c r="LD17" s="444"/>
      <c r="LE17" s="444"/>
      <c r="LF17" s="444"/>
      <c r="LG17" s="444"/>
      <c r="LH17" s="444"/>
      <c r="LI17" s="444"/>
      <c r="LJ17" s="444"/>
      <c r="LK17" s="444"/>
      <c r="LL17" s="444"/>
      <c r="LM17" s="444"/>
      <c r="LN17" s="444"/>
      <c r="LO17" s="444"/>
      <c r="LP17" s="444"/>
      <c r="LQ17" s="444"/>
      <c r="LR17" s="444"/>
      <c r="LS17" s="444"/>
      <c r="LT17" s="444"/>
      <c r="LU17" s="444"/>
      <c r="LV17" s="444"/>
      <c r="LW17" s="444"/>
      <c r="LX17" s="444"/>
      <c r="LY17" s="444"/>
      <c r="LZ17" s="444"/>
      <c r="MA17" s="444"/>
      <c r="MB17" s="444"/>
      <c r="MC17" s="444"/>
      <c r="MD17" s="444"/>
      <c r="ME17" s="444"/>
      <c r="MF17" s="444"/>
      <c r="MG17" s="444"/>
      <c r="MH17" s="444"/>
      <c r="MI17" s="444"/>
      <c r="MJ17" s="444"/>
      <c r="MK17" s="444"/>
      <c r="ML17" s="444"/>
      <c r="MM17" s="444"/>
      <c r="MN17" s="444"/>
      <c r="MO17" s="444"/>
      <c r="MP17" s="444"/>
      <c r="MQ17" s="444"/>
      <c r="MR17" s="444"/>
      <c r="MS17" s="444"/>
      <c r="MT17" s="444"/>
      <c r="MU17" s="444"/>
      <c r="MV17" s="444"/>
      <c r="MW17" s="444"/>
      <c r="MX17" s="444"/>
      <c r="MY17" s="444"/>
      <c r="MZ17" s="444"/>
      <c r="NA17" s="444"/>
      <c r="NB17" s="444"/>
      <c r="NC17" s="444"/>
      <c r="ND17" s="444"/>
      <c r="NE17" s="444"/>
      <c r="NF17" s="444"/>
      <c r="NG17" s="444"/>
      <c r="NH17" s="444"/>
      <c r="NI17" s="444"/>
      <c r="NJ17" s="444"/>
      <c r="NK17" s="444"/>
      <c r="NL17" s="444"/>
      <c r="NM17" s="444"/>
      <c r="NN17" s="444"/>
      <c r="NO17" s="444"/>
      <c r="NP17" s="444"/>
      <c r="NQ17" s="444"/>
      <c r="NR17" s="444"/>
      <c r="NS17" s="444"/>
      <c r="NT17" s="444"/>
      <c r="NU17" s="444"/>
      <c r="NV17" s="444"/>
      <c r="NW17" s="444"/>
      <c r="NX17" s="444"/>
      <c r="NY17" s="444"/>
      <c r="NZ17" s="444"/>
      <c r="OA17" s="444"/>
      <c r="OB17" s="444"/>
      <c r="OC17" s="444"/>
      <c r="OD17" s="444"/>
      <c r="OE17" s="444"/>
      <c r="OF17" s="444"/>
      <c r="OG17" s="444"/>
      <c r="OH17" s="444"/>
      <c r="OI17" s="444"/>
      <c r="OJ17" s="444"/>
      <c r="OK17" s="444"/>
      <c r="OL17" s="444"/>
      <c r="OM17" s="444"/>
      <c r="ON17" s="444"/>
      <c r="OO17" s="444"/>
      <c r="OP17" s="444"/>
      <c r="OQ17" s="444"/>
      <c r="OR17" s="444"/>
      <c r="OS17" s="444"/>
      <c r="OT17" s="444"/>
      <c r="OU17" s="444"/>
      <c r="OV17" s="444"/>
      <c r="OW17" s="444"/>
      <c r="OX17" s="444"/>
      <c r="OY17" s="444"/>
      <c r="OZ17" s="444"/>
      <c r="PA17" s="444"/>
      <c r="PB17" s="444"/>
      <c r="PC17" s="444"/>
      <c r="PD17" s="444"/>
      <c r="PE17" s="444"/>
      <c r="PF17" s="444"/>
      <c r="PG17" s="444"/>
      <c r="PH17" s="444"/>
      <c r="PI17" s="444"/>
      <c r="PJ17" s="444"/>
      <c r="PK17" s="444"/>
      <c r="PL17" s="444"/>
      <c r="PM17" s="444"/>
      <c r="PN17" s="444"/>
      <c r="PO17" s="444"/>
      <c r="PP17" s="444"/>
      <c r="PQ17" s="444"/>
      <c r="PR17" s="444"/>
      <c r="PS17" s="444"/>
      <c r="PT17" s="444"/>
      <c r="PU17" s="444"/>
      <c r="PV17" s="444"/>
      <c r="PW17" s="444"/>
      <c r="PX17" s="444"/>
      <c r="PY17" s="444"/>
      <c r="PZ17" s="444"/>
      <c r="QA17" s="444"/>
      <c r="QB17" s="444"/>
      <c r="QC17" s="444"/>
      <c r="QD17" s="444"/>
      <c r="QE17" s="444"/>
      <c r="QF17" s="444"/>
      <c r="QG17" s="444"/>
      <c r="QH17" s="444"/>
      <c r="QI17" s="444"/>
      <c r="QJ17" s="444"/>
      <c r="QK17" s="444"/>
      <c r="QL17" s="444"/>
      <c r="QM17" s="444"/>
      <c r="QN17" s="444"/>
      <c r="QO17" s="444"/>
      <c r="QP17" s="444"/>
      <c r="QQ17" s="444"/>
      <c r="QR17" s="444"/>
      <c r="QS17" s="444"/>
      <c r="QT17" s="444"/>
      <c r="QU17" s="444"/>
      <c r="QV17" s="444"/>
      <c r="QW17" s="444"/>
      <c r="QX17" s="444"/>
      <c r="QY17" s="444"/>
      <c r="QZ17" s="444"/>
      <c r="RA17" s="444"/>
      <c r="RB17" s="444"/>
      <c r="RC17" s="444"/>
      <c r="RD17" s="444"/>
      <c r="RE17" s="444"/>
      <c r="RF17" s="444"/>
      <c r="RG17" s="444"/>
      <c r="RH17" s="444"/>
      <c r="RI17" s="444"/>
      <c r="RJ17" s="444"/>
      <c r="RK17" s="444"/>
      <c r="RL17" s="444"/>
      <c r="RM17" s="444"/>
      <c r="RN17" s="444"/>
      <c r="RO17" s="444"/>
      <c r="RP17" s="444"/>
      <c r="RQ17" s="444"/>
      <c r="RR17" s="444"/>
      <c r="RS17" s="444"/>
      <c r="RT17" s="444"/>
      <c r="RU17" s="444"/>
      <c r="RV17" s="444"/>
      <c r="RW17" s="444"/>
      <c r="RX17" s="444"/>
      <c r="RY17" s="444"/>
      <c r="RZ17" s="444"/>
      <c r="SA17" s="444"/>
      <c r="SB17" s="444"/>
      <c r="SC17" s="444"/>
      <c r="SD17" s="444"/>
      <c r="SE17" s="444"/>
      <c r="SF17" s="444"/>
      <c r="SG17" s="444"/>
      <c r="SH17" s="444"/>
      <c r="SI17" s="444"/>
      <c r="SJ17" s="444"/>
      <c r="SK17" s="444"/>
      <c r="SL17" s="444"/>
      <c r="SM17" s="444"/>
      <c r="SN17" s="444"/>
      <c r="SO17" s="444"/>
      <c r="SP17" s="444"/>
      <c r="SQ17" s="444"/>
      <c r="SR17" s="444"/>
      <c r="SS17" s="444"/>
      <c r="ST17" s="444"/>
      <c r="SU17" s="444"/>
      <c r="SV17" s="444"/>
      <c r="SW17" s="444"/>
      <c r="SX17" s="444"/>
      <c r="SY17" s="444"/>
      <c r="SZ17" s="444"/>
      <c r="TA17" s="444"/>
      <c r="TB17" s="444"/>
      <c r="TC17" s="444"/>
      <c r="TD17" s="444"/>
      <c r="TE17" s="444"/>
      <c r="TF17" s="444"/>
      <c r="TG17" s="444"/>
      <c r="TH17" s="444"/>
      <c r="TI17" s="444"/>
      <c r="TJ17" s="444"/>
      <c r="TK17" s="444"/>
      <c r="TL17" s="444"/>
      <c r="TM17" s="444"/>
      <c r="TN17" s="444"/>
      <c r="TO17" s="444"/>
      <c r="TP17" s="444"/>
      <c r="TQ17" s="444"/>
      <c r="TR17" s="444"/>
      <c r="TS17" s="444"/>
      <c r="TT17" s="444"/>
      <c r="TU17" s="444"/>
      <c r="TV17" s="444"/>
      <c r="TW17" s="444"/>
      <c r="TX17" s="444"/>
      <c r="TY17" s="444"/>
      <c r="TZ17" s="444"/>
      <c r="UA17" s="444"/>
      <c r="UB17" s="444"/>
      <c r="UC17" s="444"/>
      <c r="UD17" s="444"/>
      <c r="UE17" s="444"/>
      <c r="UF17" s="444"/>
      <c r="UG17" s="444"/>
      <c r="UH17" s="444"/>
      <c r="UI17" s="444"/>
      <c r="UJ17" s="444"/>
      <c r="UK17" s="444"/>
      <c r="UL17" s="444"/>
      <c r="UM17" s="444"/>
      <c r="UN17" s="444"/>
      <c r="UO17" s="444"/>
      <c r="UP17" s="444"/>
      <c r="UQ17" s="444"/>
      <c r="UR17" s="444"/>
      <c r="US17" s="444"/>
      <c r="UT17" s="444"/>
      <c r="UU17" s="444"/>
      <c r="UV17" s="444"/>
      <c r="UW17" s="444"/>
      <c r="UX17" s="444"/>
      <c r="UY17" s="444"/>
      <c r="UZ17" s="444"/>
      <c r="VA17" s="444"/>
      <c r="VB17" s="444"/>
      <c r="VC17" s="444"/>
      <c r="VD17" s="444"/>
      <c r="VE17" s="444"/>
      <c r="VF17" s="444"/>
      <c r="VG17" s="444"/>
      <c r="VH17" s="444"/>
      <c r="VI17" s="444"/>
      <c r="VJ17" s="444"/>
      <c r="VK17" s="444"/>
      <c r="VL17" s="444"/>
      <c r="VM17" s="444"/>
      <c r="VN17" s="444"/>
      <c r="VO17" s="444"/>
      <c r="VP17" s="444"/>
      <c r="VQ17" s="444"/>
      <c r="VR17" s="444"/>
      <c r="VS17" s="444"/>
      <c r="VT17" s="444"/>
      <c r="VU17" s="444"/>
      <c r="VV17" s="444"/>
      <c r="VW17" s="444"/>
      <c r="VX17" s="444"/>
      <c r="VY17" s="444"/>
      <c r="VZ17" s="444"/>
      <c r="WA17" s="444"/>
      <c r="WB17" s="444"/>
      <c r="WC17" s="444"/>
      <c r="WD17" s="444"/>
      <c r="WE17" s="444"/>
      <c r="WF17" s="444"/>
    </row>
    <row r="18" spans="1:604" s="498" customFormat="1" ht="45" hidden="1" customHeight="1" x14ac:dyDescent="0.2">
      <c r="A18" s="486"/>
      <c r="B18" s="486"/>
      <c r="C18" s="450" t="s">
        <v>4</v>
      </c>
      <c r="D18" s="450" t="s">
        <v>190</v>
      </c>
      <c r="E18" s="441" t="s">
        <v>233</v>
      </c>
      <c r="F18" s="442" t="s">
        <v>234</v>
      </c>
      <c r="G18" s="443">
        <f>'MC-PAV'!F24</f>
        <v>0</v>
      </c>
      <c r="H18" s="438" t="s">
        <v>0</v>
      </c>
      <c r="I18" s="477">
        <v>29.3</v>
      </c>
      <c r="J18" s="439">
        <f>ROUND(I18*(1+$J$9),2)</f>
        <v>37.35</v>
      </c>
      <c r="K18" s="476">
        <f>ROUND(J18*G18,2)</f>
        <v>0</v>
      </c>
      <c r="L18" s="478"/>
      <c r="M18" s="676"/>
      <c r="N18" s="675"/>
      <c r="O18" s="675"/>
      <c r="P18" s="675"/>
      <c r="Q18" s="499"/>
      <c r="R18" s="499"/>
      <c r="S18" s="499"/>
      <c r="T18" s="499"/>
      <c r="U18" s="499"/>
      <c r="V18" s="499"/>
      <c r="W18" s="499"/>
      <c r="X18" s="499"/>
      <c r="Y18" s="499"/>
      <c r="Z18" s="499"/>
      <c r="AA18" s="499"/>
      <c r="AB18" s="499"/>
      <c r="AC18" s="499"/>
      <c r="AD18" s="499"/>
      <c r="AE18" s="499"/>
      <c r="AF18" s="499"/>
      <c r="AG18" s="499"/>
      <c r="AH18" s="499"/>
      <c r="AI18" s="499"/>
      <c r="AJ18" s="499"/>
      <c r="AK18" s="499"/>
      <c r="AL18" s="499"/>
      <c r="AM18" s="499"/>
      <c r="AN18" s="499"/>
      <c r="AO18" s="499"/>
      <c r="AP18" s="499"/>
      <c r="AQ18" s="499"/>
      <c r="AR18" s="499"/>
      <c r="AS18" s="499"/>
      <c r="AT18" s="499"/>
      <c r="AU18" s="499"/>
      <c r="AV18" s="499"/>
      <c r="AW18" s="499"/>
      <c r="AX18" s="499"/>
      <c r="AY18" s="499"/>
      <c r="AZ18" s="499"/>
      <c r="BA18" s="499"/>
      <c r="BB18" s="499"/>
      <c r="BC18" s="499"/>
      <c r="BD18" s="499"/>
      <c r="BE18" s="499"/>
      <c r="BF18" s="499"/>
      <c r="BG18" s="499"/>
      <c r="BH18" s="499"/>
      <c r="BI18" s="499"/>
      <c r="BJ18" s="499"/>
      <c r="BK18" s="499"/>
      <c r="BL18" s="499"/>
      <c r="BM18" s="499"/>
      <c r="BN18" s="499"/>
      <c r="BO18" s="499"/>
      <c r="BP18" s="499"/>
      <c r="BQ18" s="499"/>
      <c r="BR18" s="499"/>
      <c r="BS18" s="499"/>
      <c r="BT18" s="499"/>
      <c r="BU18" s="499"/>
      <c r="BV18" s="499"/>
      <c r="BW18" s="499"/>
      <c r="BX18" s="499"/>
      <c r="BY18" s="499"/>
      <c r="BZ18" s="499"/>
      <c r="CA18" s="499"/>
      <c r="CB18" s="499"/>
      <c r="CC18" s="499"/>
      <c r="CD18" s="499"/>
      <c r="CE18" s="499"/>
      <c r="CF18" s="499"/>
      <c r="CG18" s="499"/>
      <c r="CH18" s="499"/>
      <c r="CI18" s="499"/>
      <c r="CJ18" s="499"/>
      <c r="CK18" s="499"/>
      <c r="CL18" s="499"/>
      <c r="CM18" s="499"/>
      <c r="CN18" s="499"/>
      <c r="CO18" s="499"/>
      <c r="CP18" s="499"/>
      <c r="CQ18" s="499"/>
      <c r="CR18" s="499"/>
      <c r="CS18" s="499"/>
      <c r="CT18" s="499"/>
      <c r="CU18" s="499"/>
      <c r="CV18" s="499"/>
      <c r="CW18" s="499"/>
      <c r="CX18" s="499"/>
      <c r="CY18" s="499"/>
      <c r="CZ18" s="499"/>
      <c r="DA18" s="499"/>
      <c r="DB18" s="499"/>
      <c r="DC18" s="499"/>
      <c r="DD18" s="499"/>
      <c r="DE18" s="499"/>
      <c r="DF18" s="499"/>
      <c r="DG18" s="499"/>
      <c r="DH18" s="499"/>
      <c r="DI18" s="499"/>
      <c r="DJ18" s="499"/>
      <c r="DK18" s="499"/>
      <c r="DL18" s="499"/>
      <c r="DM18" s="499"/>
      <c r="DN18" s="499"/>
      <c r="DO18" s="499"/>
      <c r="DP18" s="499"/>
      <c r="DQ18" s="499"/>
      <c r="DR18" s="499"/>
      <c r="DS18" s="499"/>
      <c r="DT18" s="499"/>
      <c r="DU18" s="499"/>
      <c r="DV18" s="499"/>
      <c r="DW18" s="499"/>
      <c r="DX18" s="499"/>
      <c r="DY18" s="499"/>
      <c r="DZ18" s="499"/>
      <c r="EA18" s="499"/>
      <c r="EB18" s="499"/>
      <c r="EC18" s="499"/>
      <c r="ED18" s="499"/>
      <c r="EE18" s="499"/>
      <c r="EF18" s="499"/>
      <c r="EG18" s="499"/>
      <c r="EH18" s="499"/>
      <c r="EI18" s="499"/>
      <c r="EJ18" s="499"/>
      <c r="EK18" s="499"/>
      <c r="EL18" s="499"/>
      <c r="EM18" s="499"/>
      <c r="EN18" s="499"/>
      <c r="EO18" s="499"/>
      <c r="EP18" s="499"/>
      <c r="EQ18" s="499"/>
      <c r="ER18" s="499"/>
      <c r="ES18" s="499"/>
      <c r="ET18" s="499"/>
      <c r="EU18" s="499"/>
      <c r="EV18" s="499"/>
      <c r="EW18" s="499"/>
      <c r="EX18" s="499"/>
      <c r="EY18" s="499"/>
      <c r="EZ18" s="499"/>
      <c r="FA18" s="499"/>
      <c r="FB18" s="499"/>
      <c r="FC18" s="499"/>
      <c r="FD18" s="499"/>
      <c r="FE18" s="499"/>
      <c r="FF18" s="499"/>
      <c r="FG18" s="499"/>
      <c r="FH18" s="499"/>
      <c r="FI18" s="499"/>
      <c r="FJ18" s="499"/>
      <c r="FK18" s="499"/>
      <c r="FL18" s="499"/>
      <c r="FM18" s="499"/>
      <c r="FN18" s="499"/>
      <c r="FO18" s="499"/>
      <c r="FP18" s="499"/>
      <c r="FQ18" s="499"/>
      <c r="FR18" s="499"/>
      <c r="FS18" s="499"/>
      <c r="FT18" s="499"/>
      <c r="FU18" s="499"/>
      <c r="FV18" s="499"/>
      <c r="FW18" s="499"/>
      <c r="FX18" s="499"/>
      <c r="FY18" s="499"/>
      <c r="FZ18" s="499"/>
      <c r="GA18" s="499"/>
      <c r="GB18" s="499"/>
      <c r="GC18" s="499"/>
      <c r="GD18" s="499"/>
      <c r="GE18" s="499"/>
      <c r="GF18" s="499"/>
      <c r="GG18" s="499"/>
      <c r="GH18" s="499"/>
      <c r="GI18" s="499"/>
      <c r="GJ18" s="499"/>
      <c r="GK18" s="499"/>
      <c r="GL18" s="499"/>
      <c r="GM18" s="499"/>
      <c r="GN18" s="499"/>
      <c r="GO18" s="499"/>
      <c r="GP18" s="499"/>
      <c r="GQ18" s="499"/>
      <c r="GR18" s="499"/>
      <c r="GS18" s="499"/>
      <c r="GT18" s="499"/>
      <c r="GU18" s="499"/>
      <c r="GV18" s="499"/>
      <c r="GW18" s="499"/>
      <c r="GX18" s="499"/>
      <c r="GY18" s="499"/>
      <c r="GZ18" s="499"/>
      <c r="HA18" s="499"/>
      <c r="HB18" s="499"/>
      <c r="HC18" s="499"/>
      <c r="HD18" s="499"/>
      <c r="HE18" s="499"/>
      <c r="HF18" s="499"/>
      <c r="HG18" s="499"/>
      <c r="HH18" s="499"/>
      <c r="HI18" s="499"/>
      <c r="HJ18" s="499"/>
      <c r="HK18" s="499"/>
      <c r="HL18" s="499"/>
      <c r="HM18" s="499"/>
      <c r="HN18" s="499"/>
      <c r="HO18" s="499"/>
      <c r="HP18" s="499"/>
      <c r="HQ18" s="499"/>
      <c r="HR18" s="499"/>
      <c r="HS18" s="499"/>
      <c r="HT18" s="499"/>
      <c r="HU18" s="499"/>
      <c r="HV18" s="499"/>
      <c r="HW18" s="499"/>
      <c r="HX18" s="499"/>
      <c r="HY18" s="499"/>
      <c r="HZ18" s="499"/>
      <c r="IA18" s="499"/>
      <c r="IB18" s="499"/>
      <c r="IC18" s="499"/>
      <c r="ID18" s="499"/>
      <c r="IE18" s="499"/>
      <c r="IF18" s="499"/>
      <c r="IG18" s="499"/>
      <c r="IH18" s="499"/>
      <c r="II18" s="499"/>
      <c r="IJ18" s="499"/>
      <c r="IK18" s="499"/>
      <c r="IL18" s="499"/>
      <c r="IM18" s="499"/>
      <c r="IN18" s="499"/>
      <c r="IO18" s="499"/>
      <c r="IP18" s="499"/>
      <c r="IQ18" s="499"/>
      <c r="IR18" s="499"/>
      <c r="IS18" s="499"/>
      <c r="IT18" s="499"/>
      <c r="IU18" s="499"/>
      <c r="IV18" s="499"/>
      <c r="IW18" s="499"/>
      <c r="IX18" s="499"/>
      <c r="IY18" s="499"/>
      <c r="IZ18" s="499"/>
      <c r="JA18" s="499"/>
      <c r="JB18" s="499"/>
      <c r="JC18" s="499"/>
      <c r="JD18" s="499"/>
      <c r="JE18" s="499"/>
      <c r="JF18" s="499"/>
      <c r="JG18" s="499"/>
      <c r="JH18" s="499"/>
      <c r="JI18" s="499"/>
      <c r="JJ18" s="499"/>
      <c r="JK18" s="499"/>
      <c r="JL18" s="499"/>
      <c r="JM18" s="499"/>
      <c r="JN18" s="499"/>
      <c r="JO18" s="499"/>
      <c r="JP18" s="499"/>
      <c r="JQ18" s="499"/>
      <c r="JR18" s="499"/>
      <c r="JS18" s="499"/>
      <c r="JT18" s="499"/>
      <c r="JU18" s="499"/>
      <c r="JV18" s="499"/>
      <c r="JW18" s="499"/>
      <c r="JX18" s="499"/>
      <c r="JY18" s="499"/>
      <c r="JZ18" s="499"/>
      <c r="KA18" s="499"/>
      <c r="KB18" s="499"/>
      <c r="KC18" s="499"/>
      <c r="KD18" s="499"/>
      <c r="KE18" s="499"/>
      <c r="KF18" s="499"/>
      <c r="KG18" s="499"/>
      <c r="KH18" s="499"/>
      <c r="KI18" s="499"/>
      <c r="KJ18" s="499"/>
      <c r="KK18" s="499"/>
      <c r="KL18" s="499"/>
      <c r="KM18" s="499"/>
      <c r="KN18" s="499"/>
      <c r="KO18" s="499"/>
      <c r="KP18" s="499"/>
      <c r="KQ18" s="499"/>
      <c r="KR18" s="499"/>
      <c r="KS18" s="499"/>
      <c r="KT18" s="499"/>
      <c r="KU18" s="499"/>
      <c r="KV18" s="499"/>
      <c r="KW18" s="499"/>
      <c r="KX18" s="499"/>
      <c r="KY18" s="499"/>
      <c r="KZ18" s="499"/>
      <c r="LA18" s="499"/>
      <c r="LB18" s="499"/>
      <c r="LC18" s="499"/>
      <c r="LD18" s="499"/>
      <c r="LE18" s="499"/>
      <c r="LF18" s="499"/>
      <c r="LG18" s="499"/>
      <c r="LH18" s="499"/>
      <c r="LI18" s="499"/>
      <c r="LJ18" s="499"/>
      <c r="LK18" s="499"/>
      <c r="LL18" s="499"/>
      <c r="LM18" s="499"/>
      <c r="LN18" s="499"/>
      <c r="LO18" s="499"/>
      <c r="LP18" s="499"/>
      <c r="LQ18" s="499"/>
      <c r="LR18" s="499"/>
      <c r="LS18" s="499"/>
      <c r="LT18" s="499"/>
      <c r="LU18" s="499"/>
      <c r="LV18" s="499"/>
      <c r="LW18" s="499"/>
      <c r="LX18" s="499"/>
      <c r="LY18" s="499"/>
      <c r="LZ18" s="499"/>
      <c r="MA18" s="499"/>
      <c r="MB18" s="499"/>
      <c r="MC18" s="499"/>
      <c r="MD18" s="499"/>
      <c r="ME18" s="499"/>
      <c r="MF18" s="499"/>
      <c r="MG18" s="499"/>
      <c r="MH18" s="499"/>
      <c r="MI18" s="499"/>
      <c r="MJ18" s="499"/>
      <c r="MK18" s="499"/>
      <c r="ML18" s="499"/>
      <c r="MM18" s="499"/>
      <c r="MN18" s="499"/>
      <c r="MO18" s="499"/>
      <c r="MP18" s="499"/>
      <c r="MQ18" s="499"/>
      <c r="MR18" s="499"/>
      <c r="MS18" s="499"/>
      <c r="MT18" s="499"/>
      <c r="MU18" s="499"/>
      <c r="MV18" s="499"/>
      <c r="MW18" s="499"/>
      <c r="MX18" s="499"/>
      <c r="MY18" s="499"/>
      <c r="MZ18" s="499"/>
      <c r="NA18" s="499"/>
      <c r="NB18" s="499"/>
      <c r="NC18" s="499"/>
      <c r="ND18" s="499"/>
      <c r="NE18" s="499"/>
      <c r="NF18" s="499"/>
      <c r="NG18" s="499"/>
      <c r="NH18" s="499"/>
      <c r="NI18" s="499"/>
      <c r="NJ18" s="499"/>
      <c r="NK18" s="499"/>
      <c r="NL18" s="499"/>
      <c r="NM18" s="499"/>
      <c r="NN18" s="499"/>
      <c r="NO18" s="499"/>
      <c r="NP18" s="499"/>
      <c r="NQ18" s="499"/>
      <c r="NR18" s="499"/>
      <c r="NS18" s="499"/>
      <c r="NT18" s="499"/>
      <c r="NU18" s="499"/>
      <c r="NV18" s="499"/>
      <c r="NW18" s="499"/>
      <c r="NX18" s="499"/>
      <c r="NY18" s="499"/>
      <c r="NZ18" s="499"/>
      <c r="OA18" s="499"/>
      <c r="OB18" s="499"/>
      <c r="OC18" s="499"/>
      <c r="OD18" s="499"/>
      <c r="OE18" s="499"/>
      <c r="OF18" s="499"/>
      <c r="OG18" s="499"/>
      <c r="OH18" s="499"/>
      <c r="OI18" s="499"/>
      <c r="OJ18" s="499"/>
      <c r="OK18" s="499"/>
      <c r="OL18" s="499"/>
      <c r="OM18" s="499"/>
      <c r="ON18" s="499"/>
      <c r="OO18" s="499"/>
      <c r="OP18" s="499"/>
      <c r="OQ18" s="499"/>
      <c r="OR18" s="499"/>
      <c r="OS18" s="499"/>
      <c r="OT18" s="499"/>
      <c r="OU18" s="499"/>
      <c r="OV18" s="499"/>
      <c r="OW18" s="499"/>
      <c r="OX18" s="499"/>
      <c r="OY18" s="499"/>
      <c r="OZ18" s="499"/>
      <c r="PA18" s="499"/>
      <c r="PB18" s="499"/>
      <c r="PC18" s="499"/>
      <c r="PD18" s="499"/>
      <c r="PE18" s="499"/>
      <c r="PF18" s="499"/>
      <c r="PG18" s="499"/>
      <c r="PH18" s="499"/>
      <c r="PI18" s="499"/>
      <c r="PJ18" s="499"/>
      <c r="PK18" s="499"/>
      <c r="PL18" s="499"/>
      <c r="PM18" s="499"/>
      <c r="PN18" s="499"/>
      <c r="PO18" s="499"/>
      <c r="PP18" s="499"/>
      <c r="PQ18" s="499"/>
      <c r="PR18" s="499"/>
      <c r="PS18" s="499"/>
      <c r="PT18" s="499"/>
      <c r="PU18" s="499"/>
      <c r="PV18" s="499"/>
      <c r="PW18" s="499"/>
      <c r="PX18" s="499"/>
      <c r="PY18" s="499"/>
      <c r="PZ18" s="499"/>
      <c r="QA18" s="499"/>
      <c r="QB18" s="499"/>
      <c r="QC18" s="499"/>
      <c r="QD18" s="499"/>
      <c r="QE18" s="499"/>
      <c r="QF18" s="499"/>
      <c r="QG18" s="499"/>
      <c r="QH18" s="499"/>
      <c r="QI18" s="499"/>
      <c r="QJ18" s="499"/>
      <c r="QK18" s="499"/>
      <c r="QL18" s="499"/>
      <c r="QM18" s="499"/>
      <c r="QN18" s="499"/>
      <c r="QO18" s="499"/>
      <c r="QP18" s="499"/>
      <c r="QQ18" s="499"/>
      <c r="QR18" s="499"/>
      <c r="QS18" s="499"/>
      <c r="QT18" s="499"/>
      <c r="QU18" s="499"/>
      <c r="QV18" s="499"/>
      <c r="QW18" s="499"/>
      <c r="QX18" s="499"/>
      <c r="QY18" s="499"/>
      <c r="QZ18" s="499"/>
      <c r="RA18" s="499"/>
      <c r="RB18" s="499"/>
      <c r="RC18" s="499"/>
      <c r="RD18" s="499"/>
      <c r="RE18" s="499"/>
      <c r="RF18" s="499"/>
      <c r="RG18" s="499"/>
      <c r="RH18" s="499"/>
      <c r="RI18" s="499"/>
      <c r="RJ18" s="499"/>
      <c r="RK18" s="499"/>
      <c r="RL18" s="499"/>
      <c r="RM18" s="499"/>
      <c r="RN18" s="499"/>
      <c r="RO18" s="499"/>
      <c r="RP18" s="499"/>
      <c r="RQ18" s="499"/>
      <c r="RR18" s="499"/>
      <c r="RS18" s="499"/>
      <c r="RT18" s="499"/>
      <c r="RU18" s="499"/>
      <c r="RV18" s="499"/>
      <c r="RW18" s="499"/>
      <c r="RX18" s="499"/>
      <c r="RY18" s="499"/>
      <c r="RZ18" s="499"/>
      <c r="SA18" s="499"/>
      <c r="SB18" s="499"/>
      <c r="SC18" s="499"/>
      <c r="SD18" s="499"/>
      <c r="SE18" s="499"/>
      <c r="SF18" s="499"/>
      <c r="SG18" s="499"/>
      <c r="SH18" s="499"/>
      <c r="SI18" s="499"/>
      <c r="SJ18" s="499"/>
      <c r="SK18" s="499"/>
      <c r="SL18" s="499"/>
      <c r="SM18" s="499"/>
      <c r="SN18" s="499"/>
      <c r="SO18" s="499"/>
      <c r="SP18" s="499"/>
      <c r="SQ18" s="499"/>
      <c r="SR18" s="499"/>
      <c r="SS18" s="499"/>
      <c r="ST18" s="499"/>
      <c r="SU18" s="499"/>
      <c r="SV18" s="499"/>
      <c r="SW18" s="499"/>
      <c r="SX18" s="499"/>
      <c r="SY18" s="499"/>
      <c r="SZ18" s="499"/>
      <c r="TA18" s="499"/>
      <c r="TB18" s="499"/>
      <c r="TC18" s="499"/>
      <c r="TD18" s="499"/>
      <c r="TE18" s="499"/>
      <c r="TF18" s="499"/>
      <c r="TG18" s="499"/>
      <c r="TH18" s="499"/>
      <c r="TI18" s="499"/>
      <c r="TJ18" s="499"/>
      <c r="TK18" s="499"/>
      <c r="TL18" s="499"/>
      <c r="TM18" s="499"/>
      <c r="TN18" s="499"/>
      <c r="TO18" s="499"/>
      <c r="TP18" s="499"/>
      <c r="TQ18" s="499"/>
      <c r="TR18" s="499"/>
      <c r="TS18" s="499"/>
      <c r="TT18" s="499"/>
      <c r="TU18" s="499"/>
      <c r="TV18" s="499"/>
      <c r="TW18" s="499"/>
      <c r="TX18" s="499"/>
      <c r="TY18" s="499"/>
      <c r="TZ18" s="499"/>
      <c r="UA18" s="499"/>
      <c r="UB18" s="499"/>
      <c r="UC18" s="499"/>
      <c r="UD18" s="499"/>
      <c r="UE18" s="499"/>
      <c r="UF18" s="499"/>
      <c r="UG18" s="499"/>
      <c r="UH18" s="499"/>
      <c r="UI18" s="499"/>
      <c r="UJ18" s="499"/>
      <c r="UK18" s="499"/>
      <c r="UL18" s="499"/>
      <c r="UM18" s="499"/>
      <c r="UN18" s="499"/>
      <c r="UO18" s="499"/>
      <c r="UP18" s="499"/>
      <c r="UQ18" s="499"/>
      <c r="UR18" s="499"/>
      <c r="US18" s="499"/>
      <c r="UT18" s="499"/>
      <c r="UU18" s="499"/>
      <c r="UV18" s="499"/>
      <c r="UW18" s="499"/>
      <c r="UX18" s="499"/>
      <c r="UY18" s="499"/>
      <c r="UZ18" s="499"/>
      <c r="VA18" s="499"/>
      <c r="VB18" s="499"/>
      <c r="VC18" s="499"/>
      <c r="VD18" s="499"/>
      <c r="VE18" s="499"/>
      <c r="VF18" s="499"/>
      <c r="VG18" s="499"/>
      <c r="VH18" s="499"/>
      <c r="VI18" s="499"/>
      <c r="VJ18" s="499"/>
      <c r="VK18" s="499"/>
      <c r="VL18" s="499"/>
      <c r="VM18" s="499"/>
      <c r="VN18" s="499"/>
      <c r="VO18" s="499"/>
      <c r="VP18" s="499"/>
      <c r="VQ18" s="499"/>
      <c r="VR18" s="499"/>
      <c r="VS18" s="499"/>
      <c r="VT18" s="499"/>
      <c r="VU18" s="499"/>
      <c r="VV18" s="499"/>
      <c r="VW18" s="499"/>
      <c r="VX18" s="499"/>
      <c r="VY18" s="499"/>
      <c r="VZ18" s="499"/>
      <c r="WA18" s="499"/>
      <c r="WB18" s="499"/>
      <c r="WC18" s="499"/>
      <c r="WD18" s="499"/>
      <c r="WE18" s="499"/>
      <c r="WF18" s="499"/>
    </row>
    <row r="19" spans="1:604" s="498" customFormat="1" ht="45" hidden="1" customHeight="1" x14ac:dyDescent="0.2">
      <c r="A19" s="486"/>
      <c r="B19" s="486"/>
      <c r="C19" s="450" t="s">
        <v>8</v>
      </c>
      <c r="D19" s="440" t="s">
        <v>190</v>
      </c>
      <c r="E19" s="441" t="s">
        <v>450</v>
      </c>
      <c r="F19" s="442" t="s">
        <v>451</v>
      </c>
      <c r="G19" s="443">
        <f>'MC-PAV'!J24</f>
        <v>0</v>
      </c>
      <c r="H19" s="438" t="s">
        <v>0</v>
      </c>
      <c r="I19" s="477">
        <v>92.93</v>
      </c>
      <c r="J19" s="439">
        <f>ROUND(I19*(1+$J$9),2)</f>
        <v>118.45</v>
      </c>
      <c r="K19" s="476">
        <f>ROUND(J19*G19,2)</f>
        <v>0</v>
      </c>
      <c r="L19" s="478"/>
      <c r="M19" s="676"/>
      <c r="N19" s="675"/>
      <c r="O19" s="675"/>
      <c r="P19" s="675"/>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499"/>
      <c r="AY19" s="499"/>
      <c r="AZ19" s="499"/>
      <c r="BA19" s="499"/>
      <c r="BB19" s="499"/>
      <c r="BC19" s="499"/>
      <c r="BD19" s="499"/>
      <c r="BE19" s="499"/>
      <c r="BF19" s="499"/>
      <c r="BG19" s="499"/>
      <c r="BH19" s="499"/>
      <c r="BI19" s="499"/>
      <c r="BJ19" s="499"/>
      <c r="BK19" s="499"/>
      <c r="BL19" s="499"/>
      <c r="BM19" s="499"/>
      <c r="BN19" s="499"/>
      <c r="BO19" s="499"/>
      <c r="BP19" s="499"/>
      <c r="BQ19" s="499"/>
      <c r="BR19" s="499"/>
      <c r="BS19" s="499"/>
      <c r="BT19" s="499"/>
      <c r="BU19" s="499"/>
      <c r="BV19" s="499"/>
      <c r="BW19" s="499"/>
      <c r="BX19" s="499"/>
      <c r="BY19" s="499"/>
      <c r="BZ19" s="499"/>
      <c r="CA19" s="499"/>
      <c r="CB19" s="499"/>
      <c r="CC19" s="499"/>
      <c r="CD19" s="499"/>
      <c r="CE19" s="499"/>
      <c r="CF19" s="499"/>
      <c r="CG19" s="499"/>
      <c r="CH19" s="499"/>
      <c r="CI19" s="499"/>
      <c r="CJ19" s="499"/>
      <c r="CK19" s="499"/>
      <c r="CL19" s="499"/>
      <c r="CM19" s="499"/>
      <c r="CN19" s="499"/>
      <c r="CO19" s="499"/>
      <c r="CP19" s="499"/>
      <c r="CQ19" s="499"/>
      <c r="CR19" s="499"/>
      <c r="CS19" s="499"/>
      <c r="CT19" s="499"/>
      <c r="CU19" s="499"/>
      <c r="CV19" s="499"/>
      <c r="CW19" s="499"/>
      <c r="CX19" s="499"/>
      <c r="CY19" s="499"/>
      <c r="CZ19" s="499"/>
      <c r="DA19" s="499"/>
      <c r="DB19" s="499"/>
      <c r="DC19" s="499"/>
      <c r="DD19" s="499"/>
      <c r="DE19" s="499"/>
      <c r="DF19" s="499"/>
      <c r="DG19" s="499"/>
      <c r="DH19" s="499"/>
      <c r="DI19" s="499"/>
      <c r="DJ19" s="499"/>
      <c r="DK19" s="499"/>
      <c r="DL19" s="499"/>
      <c r="DM19" s="499"/>
      <c r="DN19" s="499"/>
      <c r="DO19" s="499"/>
      <c r="DP19" s="499"/>
      <c r="DQ19" s="499"/>
      <c r="DR19" s="499"/>
      <c r="DS19" s="499"/>
      <c r="DT19" s="499"/>
      <c r="DU19" s="499"/>
      <c r="DV19" s="499"/>
      <c r="DW19" s="499"/>
      <c r="DX19" s="499"/>
      <c r="DY19" s="499"/>
      <c r="DZ19" s="499"/>
      <c r="EA19" s="499"/>
      <c r="EB19" s="499"/>
      <c r="EC19" s="499"/>
      <c r="ED19" s="499"/>
      <c r="EE19" s="499"/>
      <c r="EF19" s="499"/>
      <c r="EG19" s="499"/>
      <c r="EH19" s="499"/>
      <c r="EI19" s="499"/>
      <c r="EJ19" s="499"/>
      <c r="EK19" s="499"/>
      <c r="EL19" s="499"/>
      <c r="EM19" s="499"/>
      <c r="EN19" s="499"/>
      <c r="EO19" s="499"/>
      <c r="EP19" s="499"/>
      <c r="EQ19" s="499"/>
      <c r="ER19" s="499"/>
      <c r="ES19" s="499"/>
      <c r="ET19" s="499"/>
      <c r="EU19" s="499"/>
      <c r="EV19" s="499"/>
      <c r="EW19" s="499"/>
      <c r="EX19" s="499"/>
      <c r="EY19" s="499"/>
      <c r="EZ19" s="499"/>
      <c r="FA19" s="499"/>
      <c r="FB19" s="499"/>
      <c r="FC19" s="499"/>
      <c r="FD19" s="499"/>
      <c r="FE19" s="499"/>
      <c r="FF19" s="499"/>
      <c r="FG19" s="499"/>
      <c r="FH19" s="499"/>
      <c r="FI19" s="499"/>
      <c r="FJ19" s="499"/>
      <c r="FK19" s="499"/>
      <c r="FL19" s="499"/>
      <c r="FM19" s="499"/>
      <c r="FN19" s="499"/>
      <c r="FO19" s="499"/>
      <c r="FP19" s="499"/>
      <c r="FQ19" s="499"/>
      <c r="FR19" s="499"/>
      <c r="FS19" s="499"/>
      <c r="FT19" s="499"/>
      <c r="FU19" s="499"/>
      <c r="FV19" s="499"/>
      <c r="FW19" s="499"/>
      <c r="FX19" s="499"/>
      <c r="FY19" s="499"/>
      <c r="FZ19" s="499"/>
      <c r="GA19" s="499"/>
      <c r="GB19" s="499"/>
      <c r="GC19" s="499"/>
      <c r="GD19" s="499"/>
      <c r="GE19" s="499"/>
      <c r="GF19" s="499"/>
      <c r="GG19" s="499"/>
      <c r="GH19" s="499"/>
      <c r="GI19" s="499"/>
      <c r="GJ19" s="499"/>
      <c r="GK19" s="499"/>
      <c r="GL19" s="499"/>
      <c r="GM19" s="499"/>
      <c r="GN19" s="499"/>
      <c r="GO19" s="499"/>
      <c r="GP19" s="499"/>
      <c r="GQ19" s="499"/>
      <c r="GR19" s="499"/>
      <c r="GS19" s="499"/>
      <c r="GT19" s="499"/>
      <c r="GU19" s="499"/>
      <c r="GV19" s="499"/>
      <c r="GW19" s="499"/>
      <c r="GX19" s="499"/>
      <c r="GY19" s="499"/>
      <c r="GZ19" s="499"/>
      <c r="HA19" s="499"/>
      <c r="HB19" s="499"/>
      <c r="HC19" s="499"/>
      <c r="HD19" s="499"/>
      <c r="HE19" s="499"/>
      <c r="HF19" s="499"/>
      <c r="HG19" s="499"/>
      <c r="HH19" s="499"/>
      <c r="HI19" s="499"/>
      <c r="HJ19" s="499"/>
      <c r="HK19" s="499"/>
      <c r="HL19" s="499"/>
      <c r="HM19" s="499"/>
      <c r="HN19" s="499"/>
      <c r="HO19" s="499"/>
      <c r="HP19" s="499"/>
      <c r="HQ19" s="499"/>
      <c r="HR19" s="499"/>
      <c r="HS19" s="499"/>
      <c r="HT19" s="499"/>
      <c r="HU19" s="499"/>
      <c r="HV19" s="499"/>
      <c r="HW19" s="499"/>
      <c r="HX19" s="499"/>
      <c r="HY19" s="499"/>
      <c r="HZ19" s="499"/>
      <c r="IA19" s="499"/>
      <c r="IB19" s="499"/>
      <c r="IC19" s="499"/>
      <c r="ID19" s="499"/>
      <c r="IE19" s="499"/>
      <c r="IF19" s="499"/>
      <c r="IG19" s="499"/>
      <c r="IH19" s="499"/>
      <c r="II19" s="499"/>
      <c r="IJ19" s="499"/>
      <c r="IK19" s="499"/>
      <c r="IL19" s="499"/>
      <c r="IM19" s="499"/>
      <c r="IN19" s="499"/>
      <c r="IO19" s="499"/>
      <c r="IP19" s="499"/>
      <c r="IQ19" s="499"/>
      <c r="IR19" s="499"/>
      <c r="IS19" s="499"/>
      <c r="IT19" s="499"/>
      <c r="IU19" s="499"/>
      <c r="IV19" s="499"/>
      <c r="IW19" s="499"/>
      <c r="IX19" s="499"/>
      <c r="IY19" s="499"/>
      <c r="IZ19" s="499"/>
      <c r="JA19" s="499"/>
      <c r="JB19" s="499"/>
      <c r="JC19" s="499"/>
      <c r="JD19" s="499"/>
      <c r="JE19" s="499"/>
      <c r="JF19" s="499"/>
      <c r="JG19" s="499"/>
      <c r="JH19" s="499"/>
      <c r="JI19" s="499"/>
      <c r="JJ19" s="499"/>
      <c r="JK19" s="499"/>
      <c r="JL19" s="499"/>
      <c r="JM19" s="499"/>
      <c r="JN19" s="499"/>
      <c r="JO19" s="499"/>
      <c r="JP19" s="499"/>
      <c r="JQ19" s="499"/>
      <c r="JR19" s="499"/>
      <c r="JS19" s="499"/>
      <c r="JT19" s="499"/>
      <c r="JU19" s="499"/>
      <c r="JV19" s="499"/>
      <c r="JW19" s="499"/>
      <c r="JX19" s="499"/>
      <c r="JY19" s="499"/>
      <c r="JZ19" s="499"/>
      <c r="KA19" s="499"/>
      <c r="KB19" s="499"/>
      <c r="KC19" s="499"/>
      <c r="KD19" s="499"/>
      <c r="KE19" s="499"/>
      <c r="KF19" s="499"/>
      <c r="KG19" s="499"/>
      <c r="KH19" s="499"/>
      <c r="KI19" s="499"/>
      <c r="KJ19" s="499"/>
      <c r="KK19" s="499"/>
      <c r="KL19" s="499"/>
      <c r="KM19" s="499"/>
      <c r="KN19" s="499"/>
      <c r="KO19" s="499"/>
      <c r="KP19" s="499"/>
      <c r="KQ19" s="499"/>
      <c r="KR19" s="499"/>
      <c r="KS19" s="499"/>
      <c r="KT19" s="499"/>
      <c r="KU19" s="499"/>
      <c r="KV19" s="499"/>
      <c r="KW19" s="499"/>
      <c r="KX19" s="499"/>
      <c r="KY19" s="499"/>
      <c r="KZ19" s="499"/>
      <c r="LA19" s="499"/>
      <c r="LB19" s="499"/>
      <c r="LC19" s="499"/>
      <c r="LD19" s="499"/>
      <c r="LE19" s="499"/>
      <c r="LF19" s="499"/>
      <c r="LG19" s="499"/>
      <c r="LH19" s="499"/>
      <c r="LI19" s="499"/>
      <c r="LJ19" s="499"/>
      <c r="LK19" s="499"/>
      <c r="LL19" s="499"/>
      <c r="LM19" s="499"/>
      <c r="LN19" s="499"/>
      <c r="LO19" s="499"/>
      <c r="LP19" s="499"/>
      <c r="LQ19" s="499"/>
      <c r="LR19" s="499"/>
      <c r="LS19" s="499"/>
      <c r="LT19" s="499"/>
      <c r="LU19" s="499"/>
      <c r="LV19" s="499"/>
      <c r="LW19" s="499"/>
      <c r="LX19" s="499"/>
      <c r="LY19" s="499"/>
      <c r="LZ19" s="499"/>
      <c r="MA19" s="499"/>
      <c r="MB19" s="499"/>
      <c r="MC19" s="499"/>
      <c r="MD19" s="499"/>
      <c r="ME19" s="499"/>
      <c r="MF19" s="499"/>
      <c r="MG19" s="499"/>
      <c r="MH19" s="499"/>
      <c r="MI19" s="499"/>
      <c r="MJ19" s="499"/>
      <c r="MK19" s="499"/>
      <c r="ML19" s="499"/>
      <c r="MM19" s="499"/>
      <c r="MN19" s="499"/>
      <c r="MO19" s="499"/>
      <c r="MP19" s="499"/>
      <c r="MQ19" s="499"/>
      <c r="MR19" s="499"/>
      <c r="MS19" s="499"/>
      <c r="MT19" s="499"/>
      <c r="MU19" s="499"/>
      <c r="MV19" s="499"/>
      <c r="MW19" s="499"/>
      <c r="MX19" s="499"/>
      <c r="MY19" s="499"/>
      <c r="MZ19" s="499"/>
      <c r="NA19" s="499"/>
      <c r="NB19" s="499"/>
      <c r="NC19" s="499"/>
      <c r="ND19" s="499"/>
      <c r="NE19" s="499"/>
      <c r="NF19" s="499"/>
      <c r="NG19" s="499"/>
      <c r="NH19" s="499"/>
      <c r="NI19" s="499"/>
      <c r="NJ19" s="499"/>
      <c r="NK19" s="499"/>
      <c r="NL19" s="499"/>
      <c r="NM19" s="499"/>
      <c r="NN19" s="499"/>
      <c r="NO19" s="499"/>
      <c r="NP19" s="499"/>
      <c r="NQ19" s="499"/>
      <c r="NR19" s="499"/>
      <c r="NS19" s="499"/>
      <c r="NT19" s="499"/>
      <c r="NU19" s="499"/>
      <c r="NV19" s="499"/>
      <c r="NW19" s="499"/>
      <c r="NX19" s="499"/>
      <c r="NY19" s="499"/>
      <c r="NZ19" s="499"/>
      <c r="OA19" s="499"/>
      <c r="OB19" s="499"/>
      <c r="OC19" s="499"/>
      <c r="OD19" s="499"/>
      <c r="OE19" s="499"/>
      <c r="OF19" s="499"/>
      <c r="OG19" s="499"/>
      <c r="OH19" s="499"/>
      <c r="OI19" s="499"/>
      <c r="OJ19" s="499"/>
      <c r="OK19" s="499"/>
      <c r="OL19" s="499"/>
      <c r="OM19" s="499"/>
      <c r="ON19" s="499"/>
      <c r="OO19" s="499"/>
      <c r="OP19" s="499"/>
      <c r="OQ19" s="499"/>
      <c r="OR19" s="499"/>
      <c r="OS19" s="499"/>
      <c r="OT19" s="499"/>
      <c r="OU19" s="499"/>
      <c r="OV19" s="499"/>
      <c r="OW19" s="499"/>
      <c r="OX19" s="499"/>
      <c r="OY19" s="499"/>
      <c r="OZ19" s="499"/>
      <c r="PA19" s="499"/>
      <c r="PB19" s="499"/>
      <c r="PC19" s="499"/>
      <c r="PD19" s="499"/>
      <c r="PE19" s="499"/>
      <c r="PF19" s="499"/>
      <c r="PG19" s="499"/>
      <c r="PH19" s="499"/>
      <c r="PI19" s="499"/>
      <c r="PJ19" s="499"/>
      <c r="PK19" s="499"/>
      <c r="PL19" s="499"/>
      <c r="PM19" s="499"/>
      <c r="PN19" s="499"/>
      <c r="PO19" s="499"/>
      <c r="PP19" s="499"/>
      <c r="PQ19" s="499"/>
      <c r="PR19" s="499"/>
      <c r="PS19" s="499"/>
      <c r="PT19" s="499"/>
      <c r="PU19" s="499"/>
      <c r="PV19" s="499"/>
      <c r="PW19" s="499"/>
      <c r="PX19" s="499"/>
      <c r="PY19" s="499"/>
      <c r="PZ19" s="499"/>
      <c r="QA19" s="499"/>
      <c r="QB19" s="499"/>
      <c r="QC19" s="499"/>
      <c r="QD19" s="499"/>
      <c r="QE19" s="499"/>
      <c r="QF19" s="499"/>
      <c r="QG19" s="499"/>
      <c r="QH19" s="499"/>
      <c r="QI19" s="499"/>
      <c r="QJ19" s="499"/>
      <c r="QK19" s="499"/>
      <c r="QL19" s="499"/>
      <c r="QM19" s="499"/>
      <c r="QN19" s="499"/>
      <c r="QO19" s="499"/>
      <c r="QP19" s="499"/>
      <c r="QQ19" s="499"/>
      <c r="QR19" s="499"/>
      <c r="QS19" s="499"/>
      <c r="QT19" s="499"/>
      <c r="QU19" s="499"/>
      <c r="QV19" s="499"/>
      <c r="QW19" s="499"/>
      <c r="QX19" s="499"/>
      <c r="QY19" s="499"/>
      <c r="QZ19" s="499"/>
      <c r="RA19" s="499"/>
      <c r="RB19" s="499"/>
      <c r="RC19" s="499"/>
      <c r="RD19" s="499"/>
      <c r="RE19" s="499"/>
      <c r="RF19" s="499"/>
      <c r="RG19" s="499"/>
      <c r="RH19" s="499"/>
      <c r="RI19" s="499"/>
      <c r="RJ19" s="499"/>
      <c r="RK19" s="499"/>
      <c r="RL19" s="499"/>
      <c r="RM19" s="499"/>
      <c r="RN19" s="499"/>
      <c r="RO19" s="499"/>
      <c r="RP19" s="499"/>
      <c r="RQ19" s="499"/>
      <c r="RR19" s="499"/>
      <c r="RS19" s="499"/>
      <c r="RT19" s="499"/>
      <c r="RU19" s="499"/>
      <c r="RV19" s="499"/>
      <c r="RW19" s="499"/>
      <c r="RX19" s="499"/>
      <c r="RY19" s="499"/>
      <c r="RZ19" s="499"/>
      <c r="SA19" s="499"/>
      <c r="SB19" s="499"/>
      <c r="SC19" s="499"/>
      <c r="SD19" s="499"/>
      <c r="SE19" s="499"/>
      <c r="SF19" s="499"/>
      <c r="SG19" s="499"/>
      <c r="SH19" s="499"/>
      <c r="SI19" s="499"/>
      <c r="SJ19" s="499"/>
      <c r="SK19" s="499"/>
      <c r="SL19" s="499"/>
      <c r="SM19" s="499"/>
      <c r="SN19" s="499"/>
      <c r="SO19" s="499"/>
      <c r="SP19" s="499"/>
      <c r="SQ19" s="499"/>
      <c r="SR19" s="499"/>
      <c r="SS19" s="499"/>
      <c r="ST19" s="499"/>
      <c r="SU19" s="499"/>
      <c r="SV19" s="499"/>
      <c r="SW19" s="499"/>
      <c r="SX19" s="499"/>
      <c r="SY19" s="499"/>
      <c r="SZ19" s="499"/>
      <c r="TA19" s="499"/>
      <c r="TB19" s="499"/>
      <c r="TC19" s="499"/>
      <c r="TD19" s="499"/>
      <c r="TE19" s="499"/>
      <c r="TF19" s="499"/>
      <c r="TG19" s="499"/>
      <c r="TH19" s="499"/>
      <c r="TI19" s="499"/>
      <c r="TJ19" s="499"/>
      <c r="TK19" s="499"/>
      <c r="TL19" s="499"/>
      <c r="TM19" s="499"/>
      <c r="TN19" s="499"/>
      <c r="TO19" s="499"/>
      <c r="TP19" s="499"/>
      <c r="TQ19" s="499"/>
      <c r="TR19" s="499"/>
      <c r="TS19" s="499"/>
      <c r="TT19" s="499"/>
      <c r="TU19" s="499"/>
      <c r="TV19" s="499"/>
      <c r="TW19" s="499"/>
      <c r="TX19" s="499"/>
      <c r="TY19" s="499"/>
      <c r="TZ19" s="499"/>
      <c r="UA19" s="499"/>
      <c r="UB19" s="499"/>
      <c r="UC19" s="499"/>
      <c r="UD19" s="499"/>
      <c r="UE19" s="499"/>
      <c r="UF19" s="499"/>
      <c r="UG19" s="499"/>
      <c r="UH19" s="499"/>
      <c r="UI19" s="499"/>
      <c r="UJ19" s="499"/>
      <c r="UK19" s="499"/>
      <c r="UL19" s="499"/>
      <c r="UM19" s="499"/>
      <c r="UN19" s="499"/>
      <c r="UO19" s="499"/>
      <c r="UP19" s="499"/>
      <c r="UQ19" s="499"/>
      <c r="UR19" s="499"/>
      <c r="US19" s="499"/>
      <c r="UT19" s="499"/>
      <c r="UU19" s="499"/>
      <c r="UV19" s="499"/>
      <c r="UW19" s="499"/>
      <c r="UX19" s="499"/>
      <c r="UY19" s="499"/>
      <c r="UZ19" s="499"/>
      <c r="VA19" s="499"/>
      <c r="VB19" s="499"/>
      <c r="VC19" s="499"/>
      <c r="VD19" s="499"/>
      <c r="VE19" s="499"/>
      <c r="VF19" s="499"/>
      <c r="VG19" s="499"/>
      <c r="VH19" s="499"/>
      <c r="VI19" s="499"/>
      <c r="VJ19" s="499"/>
      <c r="VK19" s="499"/>
      <c r="VL19" s="499"/>
      <c r="VM19" s="499"/>
      <c r="VN19" s="499"/>
      <c r="VO19" s="499"/>
      <c r="VP19" s="499"/>
      <c r="VQ19" s="499"/>
      <c r="VR19" s="499"/>
      <c r="VS19" s="499"/>
      <c r="VT19" s="499"/>
      <c r="VU19" s="499"/>
      <c r="VV19" s="499"/>
      <c r="VW19" s="499"/>
      <c r="VX19" s="499"/>
      <c r="VY19" s="499"/>
      <c r="VZ19" s="499"/>
      <c r="WA19" s="499"/>
      <c r="WB19" s="499"/>
      <c r="WC19" s="499"/>
      <c r="WD19" s="499"/>
      <c r="WE19" s="499"/>
      <c r="WF19" s="499"/>
    </row>
    <row r="20" spans="1:604" ht="27.95" hidden="1" customHeight="1" x14ac:dyDescent="0.2">
      <c r="A20" s="486"/>
      <c r="B20" s="486"/>
      <c r="C20" s="691" t="s">
        <v>452</v>
      </c>
      <c r="D20" s="691"/>
      <c r="E20" s="691"/>
      <c r="F20" s="691"/>
      <c r="G20" s="691"/>
      <c r="H20" s="691"/>
      <c r="I20" s="691"/>
      <c r="J20" s="691"/>
      <c r="K20" s="488">
        <f>SUM(K18:K19)</f>
        <v>0</v>
      </c>
      <c r="L20" s="478"/>
      <c r="M20" s="676"/>
      <c r="N20" s="675"/>
      <c r="O20" s="675"/>
      <c r="P20" s="675"/>
      <c r="Q20" s="478"/>
      <c r="R20" s="478"/>
      <c r="S20" s="478"/>
      <c r="T20" s="478"/>
      <c r="U20" s="478"/>
      <c r="V20" s="478"/>
      <c r="W20" s="478"/>
      <c r="X20" s="478"/>
      <c r="Y20" s="478"/>
      <c r="Z20" s="478"/>
      <c r="AA20" s="478"/>
      <c r="AB20" s="478"/>
      <c r="AC20" s="478"/>
      <c r="AD20" s="478"/>
      <c r="AE20" s="478"/>
      <c r="AF20" s="478"/>
      <c r="AG20" s="478"/>
      <c r="AH20" s="478"/>
      <c r="AI20" s="478"/>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4"/>
      <c r="DV20" s="444"/>
      <c r="DW20" s="444"/>
      <c r="DX20" s="444"/>
      <c r="DY20" s="444"/>
      <c r="DZ20" s="444"/>
      <c r="EA20" s="444"/>
      <c r="EB20" s="444"/>
      <c r="EC20" s="444"/>
      <c r="ED20" s="444"/>
      <c r="EE20" s="444"/>
      <c r="EF20" s="444"/>
      <c r="EG20" s="444"/>
      <c r="EH20" s="444"/>
      <c r="EI20" s="444"/>
      <c r="EJ20" s="444"/>
      <c r="EK20" s="444"/>
      <c r="EL20" s="444"/>
      <c r="EM20" s="444"/>
      <c r="EN20" s="444"/>
      <c r="EO20" s="444"/>
      <c r="EP20" s="444"/>
      <c r="EQ20" s="444"/>
      <c r="ER20" s="444"/>
      <c r="ES20" s="444"/>
      <c r="ET20" s="444"/>
      <c r="EU20" s="444"/>
      <c r="EV20" s="444"/>
      <c r="EW20" s="444"/>
      <c r="EX20" s="444"/>
      <c r="EY20" s="444"/>
      <c r="EZ20" s="444"/>
      <c r="FA20" s="444"/>
      <c r="FB20" s="444"/>
      <c r="FC20" s="444"/>
      <c r="FD20" s="444"/>
      <c r="FE20" s="444"/>
      <c r="FF20" s="444"/>
      <c r="FG20" s="444"/>
      <c r="FH20" s="444"/>
      <c r="FI20" s="444"/>
      <c r="FJ20" s="444"/>
      <c r="FK20" s="444"/>
      <c r="FL20" s="444"/>
      <c r="FM20" s="444"/>
      <c r="FN20" s="444"/>
      <c r="FO20" s="444"/>
      <c r="FP20" s="444"/>
      <c r="FQ20" s="444"/>
      <c r="FR20" s="444"/>
      <c r="FS20" s="444"/>
      <c r="FT20" s="444"/>
      <c r="FU20" s="444"/>
      <c r="FV20" s="444"/>
      <c r="FW20" s="444"/>
      <c r="FX20" s="444"/>
      <c r="FY20" s="444"/>
      <c r="FZ20" s="444"/>
      <c r="GA20" s="444"/>
      <c r="GB20" s="444"/>
      <c r="GC20" s="444"/>
      <c r="GD20" s="444"/>
      <c r="GE20" s="444"/>
      <c r="GF20" s="444"/>
      <c r="GG20" s="444"/>
      <c r="GH20" s="444"/>
      <c r="GI20" s="444"/>
      <c r="GJ20" s="444"/>
      <c r="GK20" s="444"/>
      <c r="GL20" s="444"/>
      <c r="GM20" s="444"/>
      <c r="GN20" s="444"/>
      <c r="GO20" s="444"/>
      <c r="GP20" s="444"/>
      <c r="GQ20" s="444"/>
      <c r="GR20" s="444"/>
      <c r="GS20" s="444"/>
      <c r="GT20" s="444"/>
      <c r="GU20" s="444"/>
      <c r="GV20" s="444"/>
      <c r="GW20" s="444"/>
      <c r="GX20" s="444"/>
      <c r="GY20" s="444"/>
      <c r="GZ20" s="444"/>
      <c r="HA20" s="444"/>
      <c r="HB20" s="444"/>
      <c r="HC20" s="444"/>
      <c r="HD20" s="444"/>
      <c r="HE20" s="444"/>
      <c r="HF20" s="444"/>
      <c r="HG20" s="444"/>
      <c r="HH20" s="444"/>
      <c r="HI20" s="444"/>
      <c r="HJ20" s="444"/>
      <c r="HK20" s="444"/>
      <c r="HL20" s="444"/>
      <c r="HM20" s="444"/>
      <c r="HN20" s="444"/>
      <c r="HO20" s="444"/>
      <c r="HP20" s="444"/>
      <c r="HQ20" s="444"/>
      <c r="HR20" s="444"/>
      <c r="HS20" s="444"/>
      <c r="HT20" s="444"/>
      <c r="HU20" s="444"/>
      <c r="HV20" s="444"/>
      <c r="HW20" s="444"/>
      <c r="HX20" s="444"/>
      <c r="HY20" s="444"/>
      <c r="HZ20" s="444"/>
      <c r="IA20" s="444"/>
      <c r="IB20" s="444"/>
      <c r="IC20" s="444"/>
      <c r="ID20" s="444"/>
      <c r="IE20" s="444"/>
      <c r="IF20" s="444"/>
      <c r="IG20" s="444"/>
      <c r="IH20" s="444"/>
      <c r="II20" s="444"/>
      <c r="IJ20" s="444"/>
      <c r="IK20" s="444"/>
      <c r="IL20" s="444"/>
      <c r="IM20" s="444"/>
      <c r="IN20" s="444"/>
      <c r="IO20" s="444"/>
      <c r="IP20" s="444"/>
      <c r="IQ20" s="444"/>
      <c r="IR20" s="444"/>
      <c r="IS20" s="444"/>
      <c r="IT20" s="444"/>
      <c r="IU20" s="444"/>
      <c r="IV20" s="444"/>
      <c r="IW20" s="444"/>
      <c r="IX20" s="444"/>
      <c r="IY20" s="444"/>
      <c r="IZ20" s="444"/>
      <c r="JA20" s="444"/>
      <c r="JB20" s="444"/>
      <c r="JC20" s="444"/>
      <c r="JD20" s="444"/>
      <c r="JE20" s="444"/>
      <c r="JF20" s="444"/>
      <c r="JG20" s="444"/>
      <c r="JH20" s="444"/>
      <c r="JI20" s="444"/>
      <c r="JJ20" s="444"/>
      <c r="JK20" s="444"/>
      <c r="JL20" s="444"/>
      <c r="JM20" s="444"/>
      <c r="JN20" s="444"/>
      <c r="JO20" s="444"/>
      <c r="JP20" s="444"/>
      <c r="JQ20" s="444"/>
      <c r="JR20" s="444"/>
      <c r="JS20" s="444"/>
      <c r="JT20" s="444"/>
      <c r="JU20" s="444"/>
      <c r="JV20" s="444"/>
      <c r="JW20" s="444"/>
      <c r="JX20" s="444"/>
      <c r="JY20" s="444"/>
      <c r="JZ20" s="444"/>
      <c r="KA20" s="444"/>
      <c r="KB20" s="444"/>
      <c r="KC20" s="444"/>
      <c r="KD20" s="444"/>
      <c r="KE20" s="444"/>
      <c r="KF20" s="444"/>
      <c r="KG20" s="444"/>
      <c r="KH20" s="444"/>
      <c r="KI20" s="444"/>
      <c r="KJ20" s="444"/>
      <c r="KK20" s="444"/>
      <c r="KL20" s="444"/>
      <c r="KM20" s="444"/>
      <c r="KN20" s="444"/>
      <c r="KO20" s="444"/>
      <c r="KP20" s="444"/>
      <c r="KQ20" s="444"/>
      <c r="KR20" s="444"/>
      <c r="KS20" s="444"/>
      <c r="KT20" s="444"/>
      <c r="KU20" s="444"/>
      <c r="KV20" s="444"/>
      <c r="KW20" s="444"/>
      <c r="KX20" s="444"/>
      <c r="KY20" s="444"/>
      <c r="KZ20" s="444"/>
      <c r="LA20" s="444"/>
      <c r="LB20" s="444"/>
      <c r="LC20" s="444"/>
      <c r="LD20" s="444"/>
      <c r="LE20" s="444"/>
      <c r="LF20" s="444"/>
      <c r="LG20" s="444"/>
      <c r="LH20" s="444"/>
      <c r="LI20" s="444"/>
      <c r="LJ20" s="444"/>
      <c r="LK20" s="444"/>
      <c r="LL20" s="444"/>
      <c r="LM20" s="444"/>
      <c r="LN20" s="444"/>
      <c r="LO20" s="444"/>
      <c r="LP20" s="444"/>
      <c r="LQ20" s="444"/>
      <c r="LR20" s="444"/>
      <c r="LS20" s="444"/>
      <c r="LT20" s="444"/>
      <c r="LU20" s="444"/>
      <c r="LV20" s="444"/>
      <c r="LW20" s="444"/>
      <c r="LX20" s="444"/>
      <c r="LY20" s="444"/>
      <c r="LZ20" s="444"/>
      <c r="MA20" s="444"/>
      <c r="MB20" s="444"/>
      <c r="MC20" s="444"/>
      <c r="MD20" s="444"/>
      <c r="ME20" s="444"/>
      <c r="MF20" s="444"/>
      <c r="MG20" s="444"/>
      <c r="MH20" s="444"/>
      <c r="MI20" s="444"/>
      <c r="MJ20" s="444"/>
      <c r="MK20" s="444"/>
      <c r="ML20" s="444"/>
      <c r="MM20" s="444"/>
      <c r="MN20" s="444"/>
      <c r="MO20" s="444"/>
      <c r="MP20" s="444"/>
      <c r="MQ20" s="444"/>
      <c r="MR20" s="444"/>
      <c r="MS20" s="444"/>
      <c r="MT20" s="444"/>
      <c r="MU20" s="444"/>
      <c r="MV20" s="444"/>
      <c r="MW20" s="444"/>
      <c r="MX20" s="444"/>
      <c r="MY20" s="444"/>
      <c r="MZ20" s="444"/>
      <c r="NA20" s="444"/>
      <c r="NB20" s="444"/>
      <c r="NC20" s="444"/>
      <c r="ND20" s="444"/>
      <c r="NE20" s="444"/>
      <c r="NF20" s="444"/>
      <c r="NG20" s="444"/>
      <c r="NH20" s="444"/>
      <c r="NI20" s="444"/>
      <c r="NJ20" s="444"/>
      <c r="NK20" s="444"/>
      <c r="NL20" s="444"/>
      <c r="NM20" s="444"/>
      <c r="NN20" s="444"/>
      <c r="NO20" s="444"/>
      <c r="NP20" s="444"/>
      <c r="NQ20" s="444"/>
      <c r="NR20" s="444"/>
      <c r="NS20" s="444"/>
      <c r="NT20" s="444"/>
      <c r="NU20" s="444"/>
      <c r="NV20" s="444"/>
      <c r="NW20" s="444"/>
      <c r="NX20" s="444"/>
      <c r="NY20" s="444"/>
      <c r="NZ20" s="444"/>
      <c r="OA20" s="444"/>
      <c r="OB20" s="444"/>
      <c r="OC20" s="444"/>
      <c r="OD20" s="444"/>
      <c r="OE20" s="444"/>
      <c r="OF20" s="444"/>
      <c r="OG20" s="444"/>
      <c r="OH20" s="444"/>
      <c r="OI20" s="444"/>
      <c r="OJ20" s="444"/>
      <c r="OK20" s="444"/>
      <c r="OL20" s="444"/>
      <c r="OM20" s="444"/>
      <c r="ON20" s="444"/>
      <c r="OO20" s="444"/>
      <c r="OP20" s="444"/>
      <c r="OQ20" s="444"/>
      <c r="OR20" s="444"/>
      <c r="OS20" s="444"/>
      <c r="OT20" s="444"/>
      <c r="OU20" s="444"/>
      <c r="OV20" s="444"/>
      <c r="OW20" s="444"/>
      <c r="OX20" s="444"/>
      <c r="OY20" s="444"/>
      <c r="OZ20" s="444"/>
      <c r="PA20" s="444"/>
      <c r="PB20" s="444"/>
      <c r="PC20" s="444"/>
      <c r="PD20" s="444"/>
      <c r="PE20" s="444"/>
      <c r="PF20" s="444"/>
      <c r="PG20" s="444"/>
      <c r="PH20" s="444"/>
      <c r="PI20" s="444"/>
      <c r="PJ20" s="444"/>
      <c r="PK20" s="444"/>
      <c r="PL20" s="444"/>
      <c r="PM20" s="444"/>
      <c r="PN20" s="444"/>
      <c r="PO20" s="444"/>
      <c r="PP20" s="444"/>
      <c r="PQ20" s="444"/>
      <c r="PR20" s="444"/>
      <c r="PS20" s="444"/>
      <c r="PT20" s="444"/>
      <c r="PU20" s="444"/>
      <c r="PV20" s="444"/>
      <c r="PW20" s="444"/>
      <c r="PX20" s="444"/>
      <c r="PY20" s="444"/>
      <c r="PZ20" s="444"/>
      <c r="QA20" s="444"/>
      <c r="QB20" s="444"/>
      <c r="QC20" s="444"/>
      <c r="QD20" s="444"/>
      <c r="QE20" s="444"/>
      <c r="QF20" s="444"/>
      <c r="QG20" s="444"/>
      <c r="QH20" s="444"/>
      <c r="QI20" s="444"/>
      <c r="QJ20" s="444"/>
      <c r="QK20" s="444"/>
      <c r="QL20" s="444"/>
      <c r="QM20" s="444"/>
      <c r="QN20" s="444"/>
      <c r="QO20" s="444"/>
      <c r="QP20" s="444"/>
      <c r="QQ20" s="444"/>
      <c r="QR20" s="444"/>
      <c r="QS20" s="444"/>
      <c r="QT20" s="444"/>
      <c r="QU20" s="444"/>
      <c r="QV20" s="444"/>
      <c r="QW20" s="444"/>
      <c r="QX20" s="444"/>
      <c r="QY20" s="444"/>
      <c r="QZ20" s="444"/>
      <c r="RA20" s="444"/>
      <c r="RB20" s="444"/>
      <c r="RC20" s="444"/>
      <c r="RD20" s="444"/>
      <c r="RE20" s="444"/>
      <c r="RF20" s="444"/>
      <c r="RG20" s="444"/>
      <c r="RH20" s="444"/>
      <c r="RI20" s="444"/>
      <c r="RJ20" s="444"/>
      <c r="RK20" s="444"/>
      <c r="RL20" s="444"/>
      <c r="RM20" s="444"/>
      <c r="RN20" s="444"/>
      <c r="RO20" s="444"/>
      <c r="RP20" s="444"/>
      <c r="RQ20" s="444"/>
      <c r="RR20" s="444"/>
      <c r="RS20" s="444"/>
      <c r="RT20" s="444"/>
      <c r="RU20" s="444"/>
      <c r="RV20" s="444"/>
      <c r="RW20" s="444"/>
      <c r="RX20" s="444"/>
      <c r="RY20" s="444"/>
      <c r="RZ20" s="444"/>
      <c r="SA20" s="444"/>
      <c r="SB20" s="444"/>
      <c r="SC20" s="444"/>
      <c r="SD20" s="444"/>
      <c r="SE20" s="444"/>
      <c r="SF20" s="444"/>
      <c r="SG20" s="444"/>
      <c r="SH20" s="444"/>
      <c r="SI20" s="444"/>
      <c r="SJ20" s="444"/>
      <c r="SK20" s="444"/>
      <c r="SL20" s="444"/>
      <c r="SM20" s="444"/>
      <c r="SN20" s="444"/>
      <c r="SO20" s="444"/>
      <c r="SP20" s="444"/>
      <c r="SQ20" s="444"/>
      <c r="SR20" s="444"/>
      <c r="SS20" s="444"/>
      <c r="ST20" s="444"/>
      <c r="SU20" s="444"/>
      <c r="SV20" s="444"/>
      <c r="SW20" s="444"/>
      <c r="SX20" s="444"/>
      <c r="SY20" s="444"/>
      <c r="SZ20" s="444"/>
      <c r="TA20" s="444"/>
      <c r="TB20" s="444"/>
      <c r="TC20" s="444"/>
      <c r="TD20" s="444"/>
      <c r="TE20" s="444"/>
      <c r="TF20" s="444"/>
      <c r="TG20" s="444"/>
      <c r="TH20" s="444"/>
      <c r="TI20" s="444"/>
      <c r="TJ20" s="444"/>
      <c r="TK20" s="444"/>
      <c r="TL20" s="444"/>
      <c r="TM20" s="444"/>
      <c r="TN20" s="444"/>
      <c r="TO20" s="444"/>
      <c r="TP20" s="444"/>
      <c r="TQ20" s="444"/>
      <c r="TR20" s="444"/>
      <c r="TS20" s="444"/>
      <c r="TT20" s="444"/>
      <c r="TU20" s="444"/>
      <c r="TV20" s="444"/>
      <c r="TW20" s="444"/>
      <c r="TX20" s="444"/>
      <c r="TY20" s="444"/>
      <c r="TZ20" s="444"/>
      <c r="UA20" s="444"/>
      <c r="UB20" s="444"/>
      <c r="UC20" s="444"/>
      <c r="UD20" s="444"/>
      <c r="UE20" s="444"/>
      <c r="UF20" s="444"/>
      <c r="UG20" s="444"/>
      <c r="UH20" s="444"/>
      <c r="UI20" s="444"/>
      <c r="UJ20" s="444"/>
      <c r="UK20" s="444"/>
      <c r="UL20" s="444"/>
      <c r="UM20" s="444"/>
      <c r="UN20" s="444"/>
      <c r="UO20" s="444"/>
      <c r="UP20" s="444"/>
      <c r="UQ20" s="444"/>
      <c r="UR20" s="444"/>
      <c r="US20" s="444"/>
      <c r="UT20" s="444"/>
      <c r="UU20" s="444"/>
      <c r="UV20" s="444"/>
      <c r="UW20" s="444"/>
      <c r="UX20" s="444"/>
      <c r="UY20" s="444"/>
      <c r="UZ20" s="444"/>
      <c r="VA20" s="444"/>
      <c r="VB20" s="444"/>
      <c r="VC20" s="444"/>
      <c r="VD20" s="444"/>
      <c r="VE20" s="444"/>
      <c r="VF20" s="444"/>
      <c r="VG20" s="444"/>
      <c r="VH20" s="444"/>
      <c r="VI20" s="444"/>
      <c r="VJ20" s="444"/>
      <c r="VK20" s="444"/>
      <c r="VL20" s="444"/>
      <c r="VM20" s="444"/>
      <c r="VN20" s="444"/>
      <c r="VO20" s="444"/>
      <c r="VP20" s="444"/>
      <c r="VQ20" s="444"/>
      <c r="VR20" s="444"/>
      <c r="VS20" s="444"/>
      <c r="VT20" s="444"/>
      <c r="VU20" s="444"/>
      <c r="VV20" s="444"/>
      <c r="VW20" s="444"/>
      <c r="VX20" s="444"/>
      <c r="VY20" s="444"/>
      <c r="VZ20" s="444"/>
      <c r="WA20" s="444"/>
      <c r="WB20" s="444"/>
      <c r="WC20" s="444"/>
      <c r="WD20" s="444"/>
      <c r="WE20" s="444"/>
      <c r="WF20" s="444"/>
    </row>
    <row r="21" spans="1:604" ht="27.95" customHeight="1" x14ac:dyDescent="0.2">
      <c r="A21" s="486"/>
      <c r="B21" s="486"/>
      <c r="C21" s="487">
        <v>2</v>
      </c>
      <c r="D21" s="690" t="s">
        <v>13</v>
      </c>
      <c r="E21" s="690"/>
      <c r="F21" s="690"/>
      <c r="G21" s="690"/>
      <c r="H21" s="690"/>
      <c r="I21" s="690"/>
      <c r="J21" s="690"/>
      <c r="K21" s="690"/>
      <c r="L21" s="478"/>
      <c r="M21" s="473"/>
      <c r="N21" s="485"/>
      <c r="O21" s="485"/>
      <c r="P21" s="485"/>
      <c r="Q21" s="478"/>
      <c r="R21" s="478"/>
      <c r="S21" s="478"/>
      <c r="T21" s="478"/>
      <c r="U21" s="478"/>
      <c r="V21" s="478"/>
      <c r="W21" s="478"/>
      <c r="X21" s="478"/>
      <c r="Y21" s="478"/>
      <c r="Z21" s="478"/>
      <c r="AA21" s="478"/>
      <c r="AB21" s="478"/>
      <c r="AC21" s="478"/>
      <c r="AD21" s="478"/>
      <c r="AE21" s="478"/>
      <c r="AF21" s="478"/>
      <c r="AG21" s="478"/>
      <c r="AH21" s="478"/>
      <c r="AI21" s="478"/>
      <c r="AJ21" s="444"/>
      <c r="AK21" s="444"/>
      <c r="AL21" s="444"/>
      <c r="AM21" s="444"/>
      <c r="AN21" s="444"/>
      <c r="AO21" s="444"/>
      <c r="AP21" s="444"/>
      <c r="AQ21" s="444"/>
      <c r="AR21" s="444"/>
      <c r="AS21" s="444"/>
      <c r="AT21" s="444"/>
      <c r="AU21" s="444"/>
      <c r="AV21" s="444"/>
      <c r="AW21" s="444"/>
      <c r="AX21" s="444"/>
      <c r="AY21" s="444"/>
      <c r="AZ21" s="444"/>
      <c r="BA21" s="444"/>
      <c r="BB21" s="444"/>
      <c r="BC21" s="444"/>
      <c r="BD21" s="444"/>
      <c r="BE21" s="444"/>
      <c r="BF21" s="444"/>
      <c r="BG21" s="444"/>
      <c r="BH21" s="444"/>
      <c r="BI21" s="444"/>
      <c r="BJ21" s="444"/>
      <c r="BK21" s="444"/>
      <c r="BL21" s="444"/>
      <c r="BM21" s="444"/>
      <c r="BN21" s="444"/>
      <c r="BO21" s="444"/>
      <c r="BP21" s="444"/>
      <c r="BQ21" s="444"/>
      <c r="BR21" s="444"/>
      <c r="BS21" s="444"/>
      <c r="BT21" s="444"/>
      <c r="BU21" s="444"/>
      <c r="BV21" s="444"/>
      <c r="BW21" s="444"/>
      <c r="BX21" s="444"/>
      <c r="BY21" s="444"/>
      <c r="BZ21" s="444"/>
      <c r="CA21" s="444"/>
      <c r="CB21" s="444"/>
      <c r="CC21" s="444"/>
      <c r="CD21" s="444"/>
      <c r="CE21" s="444"/>
      <c r="CF21" s="444"/>
      <c r="CG21" s="444"/>
      <c r="CH21" s="444"/>
      <c r="CI21" s="444"/>
      <c r="CJ21" s="444"/>
      <c r="CK21" s="444"/>
      <c r="CL21" s="444"/>
      <c r="CM21" s="444"/>
      <c r="CN21" s="444"/>
      <c r="CO21" s="444"/>
      <c r="CP21" s="444"/>
      <c r="CQ21" s="444"/>
      <c r="CR21" s="444"/>
      <c r="CS21" s="444"/>
      <c r="CT21" s="444"/>
      <c r="CU21" s="444"/>
      <c r="CV21" s="444"/>
      <c r="CW21" s="444"/>
      <c r="CX21" s="444"/>
      <c r="CY21" s="444"/>
      <c r="CZ21" s="444"/>
      <c r="DA21" s="444"/>
      <c r="DB21" s="444"/>
      <c r="DC21" s="444"/>
      <c r="DD21" s="444"/>
      <c r="DE21" s="444"/>
      <c r="DF21" s="444"/>
      <c r="DG21" s="444"/>
      <c r="DH21" s="444"/>
      <c r="DI21" s="444"/>
      <c r="DJ21" s="444"/>
      <c r="DK21" s="444"/>
      <c r="DL21" s="444"/>
      <c r="DM21" s="444"/>
      <c r="DN21" s="444"/>
      <c r="DO21" s="444"/>
      <c r="DP21" s="444"/>
      <c r="DQ21" s="444"/>
      <c r="DR21" s="444"/>
      <c r="DS21" s="444"/>
      <c r="DT21" s="444"/>
      <c r="DU21" s="444"/>
      <c r="DV21" s="444"/>
      <c r="DW21" s="444"/>
      <c r="DX21" s="444"/>
      <c r="DY21" s="444"/>
      <c r="DZ21" s="444"/>
      <c r="EA21" s="444"/>
      <c r="EB21" s="444"/>
      <c r="EC21" s="444"/>
      <c r="ED21" s="444"/>
      <c r="EE21" s="444"/>
      <c r="EF21" s="444"/>
      <c r="EG21" s="444"/>
      <c r="EH21" s="444"/>
      <c r="EI21" s="444"/>
      <c r="EJ21" s="444"/>
      <c r="EK21" s="444"/>
      <c r="EL21" s="444"/>
      <c r="EM21" s="444"/>
      <c r="EN21" s="444"/>
      <c r="EO21" s="444"/>
      <c r="EP21" s="444"/>
      <c r="EQ21" s="444"/>
      <c r="ER21" s="444"/>
      <c r="ES21" s="444"/>
      <c r="ET21" s="444"/>
      <c r="EU21" s="444"/>
      <c r="EV21" s="444"/>
      <c r="EW21" s="444"/>
      <c r="EX21" s="444"/>
      <c r="EY21" s="444"/>
      <c r="EZ21" s="444"/>
      <c r="FA21" s="444"/>
      <c r="FB21" s="444"/>
      <c r="FC21" s="444"/>
      <c r="FD21" s="444"/>
      <c r="FE21" s="444"/>
      <c r="FF21" s="444"/>
      <c r="FG21" s="444"/>
      <c r="FH21" s="444"/>
      <c r="FI21" s="444"/>
      <c r="FJ21" s="444"/>
      <c r="FK21" s="444"/>
      <c r="FL21" s="444"/>
      <c r="FM21" s="444"/>
      <c r="FN21" s="444"/>
      <c r="FO21" s="444"/>
      <c r="FP21" s="444"/>
      <c r="FQ21" s="444"/>
      <c r="FR21" s="444"/>
      <c r="FS21" s="444"/>
      <c r="FT21" s="444"/>
      <c r="FU21" s="444"/>
      <c r="FV21" s="444"/>
      <c r="FW21" s="444"/>
      <c r="FX21" s="444"/>
      <c r="FY21" s="444"/>
      <c r="FZ21" s="444"/>
      <c r="GA21" s="444"/>
      <c r="GB21" s="444"/>
      <c r="GC21" s="444"/>
      <c r="GD21" s="444"/>
      <c r="GE21" s="444"/>
      <c r="GF21" s="444"/>
      <c r="GG21" s="444"/>
      <c r="GH21" s="444"/>
      <c r="GI21" s="444"/>
      <c r="GJ21" s="444"/>
      <c r="GK21" s="444"/>
      <c r="GL21" s="444"/>
      <c r="GM21" s="444"/>
      <c r="GN21" s="444"/>
      <c r="GO21" s="444"/>
      <c r="GP21" s="444"/>
      <c r="GQ21" s="444"/>
      <c r="GR21" s="444"/>
      <c r="GS21" s="444"/>
      <c r="GT21" s="444"/>
      <c r="GU21" s="444"/>
      <c r="GV21" s="444"/>
      <c r="GW21" s="444"/>
      <c r="GX21" s="444"/>
      <c r="GY21" s="444"/>
      <c r="GZ21" s="444"/>
      <c r="HA21" s="444"/>
      <c r="HB21" s="444"/>
      <c r="HC21" s="444"/>
      <c r="HD21" s="444"/>
      <c r="HE21" s="444"/>
      <c r="HF21" s="444"/>
      <c r="HG21" s="444"/>
      <c r="HH21" s="444"/>
      <c r="HI21" s="444"/>
      <c r="HJ21" s="444"/>
      <c r="HK21" s="444"/>
      <c r="HL21" s="444"/>
      <c r="HM21" s="444"/>
      <c r="HN21" s="444"/>
      <c r="HO21" s="444"/>
      <c r="HP21" s="444"/>
      <c r="HQ21" s="444"/>
      <c r="HR21" s="444"/>
      <c r="HS21" s="444"/>
      <c r="HT21" s="444"/>
      <c r="HU21" s="444"/>
      <c r="HV21" s="444"/>
      <c r="HW21" s="444"/>
      <c r="HX21" s="444"/>
      <c r="HY21" s="444"/>
      <c r="HZ21" s="444"/>
      <c r="IA21" s="444"/>
      <c r="IB21" s="444"/>
      <c r="IC21" s="444"/>
      <c r="ID21" s="444"/>
      <c r="IE21" s="444"/>
      <c r="IF21" s="444"/>
      <c r="IG21" s="444"/>
      <c r="IH21" s="444"/>
      <c r="II21" s="444"/>
      <c r="IJ21" s="444"/>
      <c r="IK21" s="444"/>
      <c r="IL21" s="444"/>
      <c r="IM21" s="444"/>
      <c r="IN21" s="444"/>
      <c r="IO21" s="444"/>
      <c r="IP21" s="444"/>
      <c r="IQ21" s="444"/>
      <c r="IR21" s="444"/>
      <c r="IS21" s="444"/>
      <c r="IT21" s="444"/>
      <c r="IU21" s="444"/>
      <c r="IV21" s="444"/>
      <c r="IW21" s="444"/>
      <c r="IX21" s="444"/>
      <c r="IY21" s="444"/>
      <c r="IZ21" s="444"/>
      <c r="JA21" s="444"/>
      <c r="JB21" s="444"/>
      <c r="JC21" s="444"/>
      <c r="JD21" s="444"/>
      <c r="JE21" s="444"/>
      <c r="JF21" s="444"/>
      <c r="JG21" s="444"/>
      <c r="JH21" s="444"/>
      <c r="JI21" s="444"/>
      <c r="JJ21" s="444"/>
      <c r="JK21" s="444"/>
      <c r="JL21" s="444"/>
      <c r="JM21" s="444"/>
      <c r="JN21" s="444"/>
      <c r="JO21" s="444"/>
      <c r="JP21" s="444"/>
      <c r="JQ21" s="444"/>
      <c r="JR21" s="444"/>
      <c r="JS21" s="444"/>
      <c r="JT21" s="444"/>
      <c r="JU21" s="444"/>
      <c r="JV21" s="444"/>
      <c r="JW21" s="444"/>
      <c r="JX21" s="444"/>
      <c r="JY21" s="444"/>
      <c r="JZ21" s="444"/>
      <c r="KA21" s="444"/>
      <c r="KB21" s="444"/>
      <c r="KC21" s="444"/>
      <c r="KD21" s="444"/>
      <c r="KE21" s="444"/>
      <c r="KF21" s="444"/>
      <c r="KG21" s="444"/>
      <c r="KH21" s="444"/>
      <c r="KI21" s="444"/>
      <c r="KJ21" s="444"/>
      <c r="KK21" s="444"/>
      <c r="KL21" s="444"/>
      <c r="KM21" s="444"/>
      <c r="KN21" s="444"/>
      <c r="KO21" s="444"/>
      <c r="KP21" s="444"/>
      <c r="KQ21" s="444"/>
      <c r="KR21" s="444"/>
      <c r="KS21" s="444"/>
      <c r="KT21" s="444"/>
      <c r="KU21" s="444"/>
      <c r="KV21" s="444"/>
      <c r="KW21" s="444"/>
      <c r="KX21" s="444"/>
      <c r="KY21" s="444"/>
      <c r="KZ21" s="444"/>
      <c r="LA21" s="444"/>
      <c r="LB21" s="444"/>
      <c r="LC21" s="444"/>
      <c r="LD21" s="444"/>
      <c r="LE21" s="444"/>
      <c r="LF21" s="444"/>
      <c r="LG21" s="444"/>
      <c r="LH21" s="444"/>
      <c r="LI21" s="444"/>
      <c r="LJ21" s="444"/>
      <c r="LK21" s="444"/>
      <c r="LL21" s="444"/>
      <c r="LM21" s="444"/>
      <c r="LN21" s="444"/>
      <c r="LO21" s="444"/>
      <c r="LP21" s="444"/>
      <c r="LQ21" s="444"/>
      <c r="LR21" s="444"/>
      <c r="LS21" s="444"/>
      <c r="LT21" s="444"/>
      <c r="LU21" s="444"/>
      <c r="LV21" s="444"/>
      <c r="LW21" s="444"/>
      <c r="LX21" s="444"/>
      <c r="LY21" s="444"/>
      <c r="LZ21" s="444"/>
      <c r="MA21" s="444"/>
      <c r="MB21" s="444"/>
      <c r="MC21" s="444"/>
      <c r="MD21" s="444"/>
      <c r="ME21" s="444"/>
      <c r="MF21" s="444"/>
      <c r="MG21" s="444"/>
      <c r="MH21" s="444"/>
      <c r="MI21" s="444"/>
      <c r="MJ21" s="444"/>
      <c r="MK21" s="444"/>
      <c r="ML21" s="444"/>
      <c r="MM21" s="444"/>
      <c r="MN21" s="444"/>
      <c r="MO21" s="444"/>
      <c r="MP21" s="444"/>
      <c r="MQ21" s="444"/>
      <c r="MR21" s="444"/>
      <c r="MS21" s="444"/>
      <c r="MT21" s="444"/>
      <c r="MU21" s="444"/>
      <c r="MV21" s="444"/>
      <c r="MW21" s="444"/>
      <c r="MX21" s="444"/>
      <c r="MY21" s="444"/>
      <c r="MZ21" s="444"/>
      <c r="NA21" s="444"/>
      <c r="NB21" s="444"/>
      <c r="NC21" s="444"/>
      <c r="ND21" s="444"/>
      <c r="NE21" s="444"/>
      <c r="NF21" s="444"/>
      <c r="NG21" s="444"/>
      <c r="NH21" s="444"/>
      <c r="NI21" s="444"/>
      <c r="NJ21" s="444"/>
      <c r="NK21" s="444"/>
      <c r="NL21" s="444"/>
      <c r="NM21" s="444"/>
      <c r="NN21" s="444"/>
      <c r="NO21" s="444"/>
      <c r="NP21" s="444"/>
      <c r="NQ21" s="444"/>
      <c r="NR21" s="444"/>
      <c r="NS21" s="444"/>
      <c r="NT21" s="444"/>
      <c r="NU21" s="444"/>
      <c r="NV21" s="444"/>
      <c r="NW21" s="444"/>
      <c r="NX21" s="444"/>
      <c r="NY21" s="444"/>
      <c r="NZ21" s="444"/>
      <c r="OA21" s="444"/>
      <c r="OB21" s="444"/>
      <c r="OC21" s="444"/>
      <c r="OD21" s="444"/>
      <c r="OE21" s="444"/>
      <c r="OF21" s="444"/>
      <c r="OG21" s="444"/>
      <c r="OH21" s="444"/>
      <c r="OI21" s="444"/>
      <c r="OJ21" s="444"/>
      <c r="OK21" s="444"/>
      <c r="OL21" s="444"/>
      <c r="OM21" s="444"/>
      <c r="ON21" s="444"/>
      <c r="OO21" s="444"/>
      <c r="OP21" s="444"/>
      <c r="OQ21" s="444"/>
      <c r="OR21" s="444"/>
      <c r="OS21" s="444"/>
      <c r="OT21" s="444"/>
      <c r="OU21" s="444"/>
      <c r="OV21" s="444"/>
      <c r="OW21" s="444"/>
      <c r="OX21" s="444"/>
      <c r="OY21" s="444"/>
      <c r="OZ21" s="444"/>
      <c r="PA21" s="444"/>
      <c r="PB21" s="444"/>
      <c r="PC21" s="444"/>
      <c r="PD21" s="444"/>
      <c r="PE21" s="444"/>
      <c r="PF21" s="444"/>
      <c r="PG21" s="444"/>
      <c r="PH21" s="444"/>
      <c r="PI21" s="444"/>
      <c r="PJ21" s="444"/>
      <c r="PK21" s="444"/>
      <c r="PL21" s="444"/>
      <c r="PM21" s="444"/>
      <c r="PN21" s="444"/>
      <c r="PO21" s="444"/>
      <c r="PP21" s="444"/>
      <c r="PQ21" s="444"/>
      <c r="PR21" s="444"/>
      <c r="PS21" s="444"/>
      <c r="PT21" s="444"/>
      <c r="PU21" s="444"/>
      <c r="PV21" s="444"/>
      <c r="PW21" s="444"/>
      <c r="PX21" s="444"/>
      <c r="PY21" s="444"/>
      <c r="PZ21" s="444"/>
      <c r="QA21" s="444"/>
      <c r="QB21" s="444"/>
      <c r="QC21" s="444"/>
      <c r="QD21" s="444"/>
      <c r="QE21" s="444"/>
      <c r="QF21" s="444"/>
      <c r="QG21" s="444"/>
      <c r="QH21" s="444"/>
      <c r="QI21" s="444"/>
      <c r="QJ21" s="444"/>
      <c r="QK21" s="444"/>
      <c r="QL21" s="444"/>
      <c r="QM21" s="444"/>
      <c r="QN21" s="444"/>
      <c r="QO21" s="444"/>
      <c r="QP21" s="444"/>
      <c r="QQ21" s="444"/>
      <c r="QR21" s="444"/>
      <c r="QS21" s="444"/>
      <c r="QT21" s="444"/>
      <c r="QU21" s="444"/>
      <c r="QV21" s="444"/>
      <c r="QW21" s="444"/>
      <c r="QX21" s="444"/>
      <c r="QY21" s="444"/>
      <c r="QZ21" s="444"/>
      <c r="RA21" s="444"/>
      <c r="RB21" s="444"/>
      <c r="RC21" s="444"/>
      <c r="RD21" s="444"/>
      <c r="RE21" s="444"/>
      <c r="RF21" s="444"/>
      <c r="RG21" s="444"/>
      <c r="RH21" s="444"/>
      <c r="RI21" s="444"/>
      <c r="RJ21" s="444"/>
      <c r="RK21" s="444"/>
      <c r="RL21" s="444"/>
      <c r="RM21" s="444"/>
      <c r="RN21" s="444"/>
      <c r="RO21" s="444"/>
      <c r="RP21" s="444"/>
      <c r="RQ21" s="444"/>
      <c r="RR21" s="444"/>
      <c r="RS21" s="444"/>
      <c r="RT21" s="444"/>
      <c r="RU21" s="444"/>
      <c r="RV21" s="444"/>
      <c r="RW21" s="444"/>
      <c r="RX21" s="444"/>
      <c r="RY21" s="444"/>
      <c r="RZ21" s="444"/>
      <c r="SA21" s="444"/>
      <c r="SB21" s="444"/>
      <c r="SC21" s="444"/>
      <c r="SD21" s="444"/>
      <c r="SE21" s="444"/>
      <c r="SF21" s="444"/>
      <c r="SG21" s="444"/>
      <c r="SH21" s="444"/>
      <c r="SI21" s="444"/>
      <c r="SJ21" s="444"/>
      <c r="SK21" s="444"/>
      <c r="SL21" s="444"/>
      <c r="SM21" s="444"/>
      <c r="SN21" s="444"/>
      <c r="SO21" s="444"/>
      <c r="SP21" s="444"/>
      <c r="SQ21" s="444"/>
      <c r="SR21" s="444"/>
      <c r="SS21" s="444"/>
      <c r="ST21" s="444"/>
      <c r="SU21" s="444"/>
      <c r="SV21" s="444"/>
      <c r="SW21" s="444"/>
      <c r="SX21" s="444"/>
      <c r="SY21" s="444"/>
      <c r="SZ21" s="444"/>
      <c r="TA21" s="444"/>
      <c r="TB21" s="444"/>
      <c r="TC21" s="444"/>
      <c r="TD21" s="444"/>
      <c r="TE21" s="444"/>
      <c r="TF21" s="444"/>
      <c r="TG21" s="444"/>
      <c r="TH21" s="444"/>
      <c r="TI21" s="444"/>
      <c r="TJ21" s="444"/>
      <c r="TK21" s="444"/>
      <c r="TL21" s="444"/>
      <c r="TM21" s="444"/>
      <c r="TN21" s="444"/>
      <c r="TO21" s="444"/>
      <c r="TP21" s="444"/>
      <c r="TQ21" s="444"/>
      <c r="TR21" s="444"/>
      <c r="TS21" s="444"/>
      <c r="TT21" s="444"/>
      <c r="TU21" s="444"/>
      <c r="TV21" s="444"/>
      <c r="TW21" s="444"/>
      <c r="TX21" s="444"/>
      <c r="TY21" s="444"/>
      <c r="TZ21" s="444"/>
      <c r="UA21" s="444"/>
      <c r="UB21" s="444"/>
      <c r="UC21" s="444"/>
      <c r="UD21" s="444"/>
      <c r="UE21" s="444"/>
      <c r="UF21" s="444"/>
      <c r="UG21" s="444"/>
      <c r="UH21" s="444"/>
      <c r="UI21" s="444"/>
      <c r="UJ21" s="444"/>
      <c r="UK21" s="444"/>
      <c r="UL21" s="444"/>
      <c r="UM21" s="444"/>
      <c r="UN21" s="444"/>
      <c r="UO21" s="444"/>
      <c r="UP21" s="444"/>
      <c r="UQ21" s="444"/>
      <c r="UR21" s="444"/>
      <c r="US21" s="444"/>
      <c r="UT21" s="444"/>
      <c r="UU21" s="444"/>
      <c r="UV21" s="444"/>
      <c r="UW21" s="444"/>
      <c r="UX21" s="444"/>
      <c r="UY21" s="444"/>
      <c r="UZ21" s="444"/>
      <c r="VA21" s="444"/>
      <c r="VB21" s="444"/>
      <c r="VC21" s="444"/>
      <c r="VD21" s="444"/>
      <c r="VE21" s="444"/>
      <c r="VF21" s="444"/>
      <c r="VG21" s="444"/>
      <c r="VH21" s="444"/>
      <c r="VI21" s="444"/>
      <c r="VJ21" s="444"/>
      <c r="VK21" s="444"/>
      <c r="VL21" s="444"/>
      <c r="VM21" s="444"/>
      <c r="VN21" s="444"/>
      <c r="VO21" s="444"/>
      <c r="VP21" s="444"/>
      <c r="VQ21" s="444"/>
      <c r="VR21" s="444"/>
      <c r="VS21" s="444"/>
      <c r="VT21" s="444"/>
      <c r="VU21" s="444"/>
      <c r="VV21" s="444"/>
      <c r="VW21" s="444"/>
      <c r="VX21" s="444"/>
      <c r="VY21" s="444"/>
      <c r="VZ21" s="444"/>
      <c r="WA21" s="444"/>
      <c r="WB21" s="444"/>
      <c r="WC21" s="444"/>
      <c r="WD21" s="444"/>
      <c r="WE21" s="444"/>
      <c r="WF21" s="444"/>
    </row>
    <row r="22" spans="1:604" s="498" customFormat="1" ht="63" hidden="1" x14ac:dyDescent="0.2">
      <c r="A22" s="486"/>
      <c r="B22" s="486"/>
      <c r="C22" s="450" t="s">
        <v>4</v>
      </c>
      <c r="D22" s="450" t="s">
        <v>192</v>
      </c>
      <c r="E22" s="441" t="s">
        <v>31</v>
      </c>
      <c r="F22" s="442" t="s">
        <v>217</v>
      </c>
      <c r="G22" s="443">
        <f>'MC-PAV'!G24</f>
        <v>0</v>
      </c>
      <c r="H22" s="438" t="s">
        <v>2</v>
      </c>
      <c r="I22" s="477">
        <v>90.92</v>
      </c>
      <c r="J22" s="439">
        <f>ROUND(I22*(1+$J$9),2)</f>
        <v>115.89</v>
      </c>
      <c r="K22" s="476">
        <f>ROUND(J22*G22,2)</f>
        <v>0</v>
      </c>
      <c r="L22" s="478"/>
      <c r="M22" s="473"/>
      <c r="N22" s="502"/>
      <c r="O22" s="502"/>
      <c r="P22" s="502"/>
      <c r="Q22" s="499"/>
      <c r="R22" s="499"/>
      <c r="S22" s="499"/>
      <c r="T22" s="499"/>
      <c r="U22" s="499"/>
      <c r="V22" s="499"/>
      <c r="W22" s="499"/>
      <c r="X22" s="499"/>
      <c r="Y22" s="499"/>
      <c r="Z22" s="499"/>
      <c r="AA22" s="499"/>
      <c r="AB22" s="499"/>
      <c r="AC22" s="499"/>
      <c r="AD22" s="499"/>
      <c r="AE22" s="499"/>
      <c r="AF22" s="499"/>
      <c r="AG22" s="499"/>
      <c r="AH22" s="499"/>
      <c r="AI22" s="499"/>
      <c r="AJ22" s="499"/>
      <c r="AK22" s="499"/>
      <c r="AL22" s="499"/>
      <c r="AM22" s="499"/>
      <c r="AN22" s="499"/>
      <c r="AO22" s="499"/>
      <c r="AP22" s="499"/>
      <c r="AQ22" s="499"/>
      <c r="AR22" s="499"/>
      <c r="AS22" s="499"/>
      <c r="AT22" s="499"/>
      <c r="AU22" s="499"/>
      <c r="AV22" s="499"/>
      <c r="AW22" s="499"/>
      <c r="AX22" s="499"/>
      <c r="AY22" s="499"/>
      <c r="AZ22" s="499"/>
      <c r="BA22" s="499"/>
      <c r="BB22" s="499"/>
      <c r="BC22" s="499"/>
      <c r="BD22" s="499"/>
      <c r="BE22" s="499"/>
      <c r="BF22" s="499"/>
      <c r="BG22" s="499"/>
      <c r="BH22" s="499"/>
      <c r="BI22" s="499"/>
      <c r="BJ22" s="499"/>
      <c r="BK22" s="499"/>
      <c r="BL22" s="499"/>
      <c r="BM22" s="499"/>
      <c r="BN22" s="499"/>
      <c r="BO22" s="499"/>
      <c r="BP22" s="499"/>
      <c r="BQ22" s="499"/>
      <c r="BR22" s="499"/>
      <c r="BS22" s="499"/>
      <c r="BT22" s="499"/>
      <c r="BU22" s="499"/>
      <c r="BV22" s="499"/>
      <c r="BW22" s="499"/>
      <c r="BX22" s="499"/>
      <c r="BY22" s="499"/>
      <c r="BZ22" s="499"/>
      <c r="CA22" s="499"/>
      <c r="CB22" s="499"/>
      <c r="CC22" s="499"/>
      <c r="CD22" s="499"/>
      <c r="CE22" s="499"/>
      <c r="CF22" s="499"/>
      <c r="CG22" s="499"/>
      <c r="CH22" s="499"/>
      <c r="CI22" s="499"/>
      <c r="CJ22" s="499"/>
      <c r="CK22" s="499"/>
      <c r="CL22" s="499"/>
      <c r="CM22" s="499"/>
      <c r="CN22" s="499"/>
      <c r="CO22" s="499"/>
      <c r="CP22" s="499"/>
      <c r="CQ22" s="499"/>
      <c r="CR22" s="499"/>
      <c r="CS22" s="499"/>
      <c r="CT22" s="499"/>
      <c r="CU22" s="499"/>
      <c r="CV22" s="499"/>
      <c r="CW22" s="499"/>
      <c r="CX22" s="499"/>
      <c r="CY22" s="499"/>
      <c r="CZ22" s="499"/>
      <c r="DA22" s="499"/>
      <c r="DB22" s="499"/>
      <c r="DC22" s="499"/>
      <c r="DD22" s="499"/>
      <c r="DE22" s="499"/>
      <c r="DF22" s="499"/>
      <c r="DG22" s="499"/>
      <c r="DH22" s="499"/>
      <c r="DI22" s="499"/>
      <c r="DJ22" s="499"/>
      <c r="DK22" s="499"/>
      <c r="DL22" s="499"/>
      <c r="DM22" s="499"/>
      <c r="DN22" s="499"/>
      <c r="DO22" s="499"/>
      <c r="DP22" s="499"/>
      <c r="DQ22" s="499"/>
      <c r="DR22" s="499"/>
      <c r="DS22" s="499"/>
      <c r="DT22" s="499"/>
      <c r="DU22" s="499"/>
      <c r="DV22" s="499"/>
      <c r="DW22" s="499"/>
      <c r="DX22" s="499"/>
      <c r="DY22" s="499"/>
      <c r="DZ22" s="499"/>
      <c r="EA22" s="499"/>
      <c r="EB22" s="499"/>
      <c r="EC22" s="499"/>
      <c r="ED22" s="499"/>
      <c r="EE22" s="499"/>
      <c r="EF22" s="499"/>
      <c r="EG22" s="499"/>
      <c r="EH22" s="499"/>
      <c r="EI22" s="499"/>
      <c r="EJ22" s="499"/>
      <c r="EK22" s="499"/>
      <c r="EL22" s="499"/>
      <c r="EM22" s="499"/>
      <c r="EN22" s="499"/>
      <c r="EO22" s="499"/>
      <c r="EP22" s="499"/>
      <c r="EQ22" s="499"/>
      <c r="ER22" s="499"/>
      <c r="ES22" s="499"/>
      <c r="ET22" s="499"/>
      <c r="EU22" s="499"/>
      <c r="EV22" s="499"/>
      <c r="EW22" s="499"/>
      <c r="EX22" s="499"/>
      <c r="EY22" s="499"/>
      <c r="EZ22" s="499"/>
      <c r="FA22" s="499"/>
      <c r="FB22" s="499"/>
      <c r="FC22" s="499"/>
      <c r="FD22" s="499"/>
      <c r="FE22" s="499"/>
      <c r="FF22" s="499"/>
      <c r="FG22" s="499"/>
      <c r="FH22" s="499"/>
      <c r="FI22" s="499"/>
      <c r="FJ22" s="499"/>
      <c r="FK22" s="499"/>
      <c r="FL22" s="499"/>
      <c r="FM22" s="499"/>
      <c r="FN22" s="499"/>
      <c r="FO22" s="499"/>
      <c r="FP22" s="499"/>
      <c r="FQ22" s="499"/>
      <c r="FR22" s="499"/>
      <c r="FS22" s="499"/>
      <c r="FT22" s="499"/>
      <c r="FU22" s="499"/>
      <c r="FV22" s="499"/>
      <c r="FW22" s="499"/>
      <c r="FX22" s="499"/>
      <c r="FY22" s="499"/>
      <c r="FZ22" s="499"/>
      <c r="GA22" s="499"/>
      <c r="GB22" s="499"/>
      <c r="GC22" s="499"/>
      <c r="GD22" s="499"/>
      <c r="GE22" s="499"/>
      <c r="GF22" s="499"/>
      <c r="GG22" s="499"/>
      <c r="GH22" s="499"/>
      <c r="GI22" s="499"/>
      <c r="GJ22" s="499"/>
      <c r="GK22" s="499"/>
      <c r="GL22" s="499"/>
      <c r="GM22" s="499"/>
      <c r="GN22" s="499"/>
      <c r="GO22" s="499"/>
      <c r="GP22" s="499"/>
      <c r="GQ22" s="499"/>
      <c r="GR22" s="499"/>
      <c r="GS22" s="499"/>
      <c r="GT22" s="499"/>
      <c r="GU22" s="499"/>
      <c r="GV22" s="499"/>
      <c r="GW22" s="499"/>
      <c r="GX22" s="499"/>
      <c r="GY22" s="499"/>
      <c r="GZ22" s="499"/>
      <c r="HA22" s="499"/>
      <c r="HB22" s="499"/>
      <c r="HC22" s="499"/>
      <c r="HD22" s="499"/>
      <c r="HE22" s="499"/>
      <c r="HF22" s="499"/>
      <c r="HG22" s="499"/>
      <c r="HH22" s="499"/>
      <c r="HI22" s="499"/>
      <c r="HJ22" s="499"/>
      <c r="HK22" s="499"/>
      <c r="HL22" s="499"/>
      <c r="HM22" s="499"/>
      <c r="HN22" s="499"/>
      <c r="HO22" s="499"/>
      <c r="HP22" s="499"/>
      <c r="HQ22" s="499"/>
      <c r="HR22" s="499"/>
      <c r="HS22" s="499"/>
      <c r="HT22" s="499"/>
      <c r="HU22" s="499"/>
      <c r="HV22" s="499"/>
      <c r="HW22" s="499"/>
      <c r="HX22" s="499"/>
      <c r="HY22" s="499"/>
      <c r="HZ22" s="499"/>
      <c r="IA22" s="499"/>
      <c r="IB22" s="499"/>
      <c r="IC22" s="499"/>
      <c r="ID22" s="499"/>
      <c r="IE22" s="499"/>
      <c r="IF22" s="499"/>
      <c r="IG22" s="499"/>
      <c r="IH22" s="499"/>
      <c r="II22" s="499"/>
      <c r="IJ22" s="499"/>
      <c r="IK22" s="499"/>
      <c r="IL22" s="499"/>
      <c r="IM22" s="499"/>
      <c r="IN22" s="499"/>
      <c r="IO22" s="499"/>
      <c r="IP22" s="499"/>
      <c r="IQ22" s="499"/>
      <c r="IR22" s="499"/>
      <c r="IS22" s="499"/>
      <c r="IT22" s="499"/>
      <c r="IU22" s="499"/>
      <c r="IV22" s="499"/>
      <c r="IW22" s="499"/>
      <c r="IX22" s="499"/>
      <c r="IY22" s="499"/>
      <c r="IZ22" s="499"/>
      <c r="JA22" s="499"/>
      <c r="JB22" s="499"/>
      <c r="JC22" s="499"/>
      <c r="JD22" s="499"/>
      <c r="JE22" s="499"/>
      <c r="JF22" s="499"/>
      <c r="JG22" s="499"/>
      <c r="JH22" s="499"/>
      <c r="JI22" s="499"/>
      <c r="JJ22" s="499"/>
      <c r="JK22" s="499"/>
      <c r="JL22" s="499"/>
      <c r="JM22" s="499"/>
      <c r="JN22" s="499"/>
      <c r="JO22" s="499"/>
      <c r="JP22" s="499"/>
      <c r="JQ22" s="499"/>
      <c r="JR22" s="499"/>
      <c r="JS22" s="499"/>
      <c r="JT22" s="499"/>
      <c r="JU22" s="499"/>
      <c r="JV22" s="499"/>
      <c r="JW22" s="499"/>
      <c r="JX22" s="499"/>
      <c r="JY22" s="499"/>
      <c r="JZ22" s="499"/>
      <c r="KA22" s="499"/>
      <c r="KB22" s="499"/>
      <c r="KC22" s="499"/>
      <c r="KD22" s="499"/>
      <c r="KE22" s="499"/>
      <c r="KF22" s="499"/>
      <c r="KG22" s="499"/>
      <c r="KH22" s="499"/>
      <c r="KI22" s="499"/>
      <c r="KJ22" s="499"/>
      <c r="KK22" s="499"/>
      <c r="KL22" s="499"/>
      <c r="KM22" s="499"/>
      <c r="KN22" s="499"/>
      <c r="KO22" s="499"/>
      <c r="KP22" s="499"/>
      <c r="KQ22" s="499"/>
      <c r="KR22" s="499"/>
      <c r="KS22" s="499"/>
      <c r="KT22" s="499"/>
      <c r="KU22" s="499"/>
      <c r="KV22" s="499"/>
      <c r="KW22" s="499"/>
      <c r="KX22" s="499"/>
      <c r="KY22" s="499"/>
      <c r="KZ22" s="499"/>
      <c r="LA22" s="499"/>
      <c r="LB22" s="499"/>
      <c r="LC22" s="499"/>
      <c r="LD22" s="499"/>
      <c r="LE22" s="499"/>
      <c r="LF22" s="499"/>
      <c r="LG22" s="499"/>
      <c r="LH22" s="499"/>
      <c r="LI22" s="499"/>
      <c r="LJ22" s="499"/>
      <c r="LK22" s="499"/>
      <c r="LL22" s="499"/>
      <c r="LM22" s="499"/>
      <c r="LN22" s="499"/>
      <c r="LO22" s="499"/>
      <c r="LP22" s="499"/>
      <c r="LQ22" s="499"/>
      <c r="LR22" s="499"/>
      <c r="LS22" s="499"/>
      <c r="LT22" s="499"/>
      <c r="LU22" s="499"/>
      <c r="LV22" s="499"/>
      <c r="LW22" s="499"/>
      <c r="LX22" s="499"/>
      <c r="LY22" s="499"/>
      <c r="LZ22" s="499"/>
      <c r="MA22" s="499"/>
      <c r="MB22" s="499"/>
      <c r="MC22" s="499"/>
      <c r="MD22" s="499"/>
      <c r="ME22" s="499"/>
      <c r="MF22" s="499"/>
      <c r="MG22" s="499"/>
      <c r="MH22" s="499"/>
      <c r="MI22" s="499"/>
      <c r="MJ22" s="499"/>
      <c r="MK22" s="499"/>
      <c r="ML22" s="499"/>
      <c r="MM22" s="499"/>
      <c r="MN22" s="499"/>
      <c r="MO22" s="499"/>
      <c r="MP22" s="499"/>
      <c r="MQ22" s="499"/>
      <c r="MR22" s="499"/>
      <c r="MS22" s="499"/>
      <c r="MT22" s="499"/>
      <c r="MU22" s="499"/>
      <c r="MV22" s="499"/>
      <c r="MW22" s="499"/>
      <c r="MX22" s="499"/>
      <c r="MY22" s="499"/>
      <c r="MZ22" s="499"/>
      <c r="NA22" s="499"/>
      <c r="NB22" s="499"/>
      <c r="NC22" s="499"/>
      <c r="ND22" s="499"/>
      <c r="NE22" s="499"/>
      <c r="NF22" s="499"/>
      <c r="NG22" s="499"/>
      <c r="NH22" s="499"/>
      <c r="NI22" s="499"/>
      <c r="NJ22" s="499"/>
      <c r="NK22" s="499"/>
      <c r="NL22" s="499"/>
      <c r="NM22" s="499"/>
      <c r="NN22" s="499"/>
      <c r="NO22" s="499"/>
      <c r="NP22" s="499"/>
      <c r="NQ22" s="499"/>
      <c r="NR22" s="499"/>
      <c r="NS22" s="499"/>
      <c r="NT22" s="499"/>
      <c r="NU22" s="499"/>
      <c r="NV22" s="499"/>
      <c r="NW22" s="499"/>
      <c r="NX22" s="499"/>
      <c r="NY22" s="499"/>
      <c r="NZ22" s="499"/>
      <c r="OA22" s="499"/>
      <c r="OB22" s="499"/>
      <c r="OC22" s="499"/>
      <c r="OD22" s="499"/>
      <c r="OE22" s="499"/>
      <c r="OF22" s="499"/>
      <c r="OG22" s="499"/>
      <c r="OH22" s="499"/>
      <c r="OI22" s="499"/>
      <c r="OJ22" s="499"/>
      <c r="OK22" s="499"/>
      <c r="OL22" s="499"/>
      <c r="OM22" s="499"/>
      <c r="ON22" s="499"/>
      <c r="OO22" s="499"/>
      <c r="OP22" s="499"/>
      <c r="OQ22" s="499"/>
      <c r="OR22" s="499"/>
      <c r="OS22" s="499"/>
      <c r="OT22" s="499"/>
      <c r="OU22" s="499"/>
      <c r="OV22" s="499"/>
      <c r="OW22" s="499"/>
      <c r="OX22" s="499"/>
      <c r="OY22" s="499"/>
      <c r="OZ22" s="499"/>
      <c r="PA22" s="499"/>
      <c r="PB22" s="499"/>
      <c r="PC22" s="499"/>
      <c r="PD22" s="499"/>
      <c r="PE22" s="499"/>
      <c r="PF22" s="499"/>
      <c r="PG22" s="499"/>
      <c r="PH22" s="499"/>
      <c r="PI22" s="499"/>
      <c r="PJ22" s="499"/>
      <c r="PK22" s="499"/>
      <c r="PL22" s="499"/>
      <c r="PM22" s="499"/>
      <c r="PN22" s="499"/>
      <c r="PO22" s="499"/>
      <c r="PP22" s="499"/>
      <c r="PQ22" s="499"/>
      <c r="PR22" s="499"/>
      <c r="PS22" s="499"/>
      <c r="PT22" s="499"/>
      <c r="PU22" s="499"/>
      <c r="PV22" s="499"/>
      <c r="PW22" s="499"/>
      <c r="PX22" s="499"/>
      <c r="PY22" s="499"/>
      <c r="PZ22" s="499"/>
      <c r="QA22" s="499"/>
      <c r="QB22" s="499"/>
      <c r="QC22" s="499"/>
      <c r="QD22" s="499"/>
      <c r="QE22" s="499"/>
      <c r="QF22" s="499"/>
      <c r="QG22" s="499"/>
      <c r="QH22" s="499"/>
      <c r="QI22" s="499"/>
      <c r="QJ22" s="499"/>
      <c r="QK22" s="499"/>
      <c r="QL22" s="499"/>
      <c r="QM22" s="499"/>
      <c r="QN22" s="499"/>
      <c r="QO22" s="499"/>
      <c r="QP22" s="499"/>
      <c r="QQ22" s="499"/>
      <c r="QR22" s="499"/>
      <c r="QS22" s="499"/>
      <c r="QT22" s="499"/>
      <c r="QU22" s="499"/>
      <c r="QV22" s="499"/>
      <c r="QW22" s="499"/>
      <c r="QX22" s="499"/>
      <c r="QY22" s="499"/>
      <c r="QZ22" s="499"/>
      <c r="RA22" s="499"/>
      <c r="RB22" s="499"/>
      <c r="RC22" s="499"/>
      <c r="RD22" s="499"/>
      <c r="RE22" s="499"/>
      <c r="RF22" s="499"/>
      <c r="RG22" s="499"/>
      <c r="RH22" s="499"/>
      <c r="RI22" s="499"/>
      <c r="RJ22" s="499"/>
      <c r="RK22" s="499"/>
      <c r="RL22" s="499"/>
      <c r="RM22" s="499"/>
      <c r="RN22" s="499"/>
      <c r="RO22" s="499"/>
      <c r="RP22" s="499"/>
      <c r="RQ22" s="499"/>
      <c r="RR22" s="499"/>
      <c r="RS22" s="499"/>
      <c r="RT22" s="499"/>
      <c r="RU22" s="499"/>
      <c r="RV22" s="499"/>
      <c r="RW22" s="499"/>
      <c r="RX22" s="499"/>
      <c r="RY22" s="499"/>
      <c r="RZ22" s="499"/>
      <c r="SA22" s="499"/>
      <c r="SB22" s="499"/>
      <c r="SC22" s="499"/>
      <c r="SD22" s="499"/>
      <c r="SE22" s="499"/>
      <c r="SF22" s="499"/>
      <c r="SG22" s="499"/>
      <c r="SH22" s="499"/>
      <c r="SI22" s="499"/>
      <c r="SJ22" s="499"/>
      <c r="SK22" s="499"/>
      <c r="SL22" s="499"/>
      <c r="SM22" s="499"/>
      <c r="SN22" s="499"/>
      <c r="SO22" s="499"/>
      <c r="SP22" s="499"/>
      <c r="SQ22" s="499"/>
      <c r="SR22" s="499"/>
      <c r="SS22" s="499"/>
      <c r="ST22" s="499"/>
      <c r="SU22" s="499"/>
      <c r="SV22" s="499"/>
      <c r="SW22" s="499"/>
      <c r="SX22" s="499"/>
      <c r="SY22" s="499"/>
      <c r="SZ22" s="499"/>
      <c r="TA22" s="499"/>
      <c r="TB22" s="499"/>
      <c r="TC22" s="499"/>
      <c r="TD22" s="499"/>
      <c r="TE22" s="499"/>
      <c r="TF22" s="499"/>
      <c r="TG22" s="499"/>
      <c r="TH22" s="499"/>
      <c r="TI22" s="499"/>
      <c r="TJ22" s="499"/>
      <c r="TK22" s="499"/>
      <c r="TL22" s="499"/>
      <c r="TM22" s="499"/>
      <c r="TN22" s="499"/>
      <c r="TO22" s="499"/>
      <c r="TP22" s="499"/>
      <c r="TQ22" s="499"/>
      <c r="TR22" s="499"/>
      <c r="TS22" s="499"/>
      <c r="TT22" s="499"/>
      <c r="TU22" s="499"/>
      <c r="TV22" s="499"/>
      <c r="TW22" s="499"/>
      <c r="TX22" s="499"/>
      <c r="TY22" s="499"/>
      <c r="TZ22" s="499"/>
      <c r="UA22" s="499"/>
      <c r="UB22" s="499"/>
      <c r="UC22" s="499"/>
      <c r="UD22" s="499"/>
      <c r="UE22" s="499"/>
      <c r="UF22" s="499"/>
      <c r="UG22" s="499"/>
      <c r="UH22" s="499"/>
      <c r="UI22" s="499"/>
      <c r="UJ22" s="499"/>
      <c r="UK22" s="499"/>
      <c r="UL22" s="499"/>
      <c r="UM22" s="499"/>
      <c r="UN22" s="499"/>
      <c r="UO22" s="499"/>
      <c r="UP22" s="499"/>
      <c r="UQ22" s="499"/>
      <c r="UR22" s="499"/>
      <c r="US22" s="499"/>
      <c r="UT22" s="499"/>
      <c r="UU22" s="499"/>
      <c r="UV22" s="499"/>
      <c r="UW22" s="499"/>
      <c r="UX22" s="499"/>
      <c r="UY22" s="499"/>
      <c r="UZ22" s="499"/>
      <c r="VA22" s="499"/>
      <c r="VB22" s="499"/>
      <c r="VC22" s="499"/>
      <c r="VD22" s="499"/>
      <c r="VE22" s="499"/>
      <c r="VF22" s="499"/>
      <c r="VG22" s="499"/>
      <c r="VH22" s="499"/>
      <c r="VI22" s="499"/>
      <c r="VJ22" s="499"/>
      <c r="VK22" s="499"/>
      <c r="VL22" s="499"/>
      <c r="VM22" s="499"/>
      <c r="VN22" s="499"/>
      <c r="VO22" s="499"/>
      <c r="VP22" s="499"/>
      <c r="VQ22" s="499"/>
      <c r="VR22" s="499"/>
      <c r="VS22" s="499"/>
      <c r="VT22" s="499"/>
      <c r="VU22" s="499"/>
      <c r="VV22" s="499"/>
      <c r="VW22" s="499"/>
      <c r="VX22" s="499"/>
      <c r="VY22" s="499"/>
      <c r="VZ22" s="499"/>
      <c r="WA22" s="499"/>
      <c r="WB22" s="499"/>
      <c r="WC22" s="499"/>
      <c r="WD22" s="499"/>
      <c r="WE22" s="499"/>
      <c r="WF22" s="499"/>
    </row>
    <row r="23" spans="1:604" s="498" customFormat="1" ht="45" customHeight="1" x14ac:dyDescent="0.2">
      <c r="A23" s="486"/>
      <c r="B23" s="486"/>
      <c r="C23" s="450" t="s">
        <v>4</v>
      </c>
      <c r="D23" s="450" t="s">
        <v>192</v>
      </c>
      <c r="E23" s="441" t="s">
        <v>156</v>
      </c>
      <c r="F23" s="442" t="s">
        <v>157</v>
      </c>
      <c r="G23" s="443">
        <f>'MC-PAV'!H24</f>
        <v>58.05</v>
      </c>
      <c r="H23" s="437" t="s">
        <v>0</v>
      </c>
      <c r="I23" s="477">
        <v>15.39</v>
      </c>
      <c r="J23" s="439">
        <f>ROUND(I23*(1+$J$9),2)</f>
        <v>19.62</v>
      </c>
      <c r="K23" s="476">
        <f>ROUND(J23*G23,2)</f>
        <v>1138.94</v>
      </c>
      <c r="L23" s="478"/>
      <c r="M23" s="473"/>
      <c r="N23" s="502"/>
      <c r="O23" s="502"/>
      <c r="P23" s="502"/>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9"/>
      <c r="AN23" s="499"/>
      <c r="AO23" s="499"/>
      <c r="AP23" s="499"/>
      <c r="AQ23" s="499"/>
      <c r="AR23" s="499"/>
      <c r="AS23" s="499"/>
      <c r="AT23" s="499"/>
      <c r="AU23" s="499"/>
      <c r="AV23" s="499"/>
      <c r="AW23" s="499"/>
      <c r="AX23" s="499"/>
      <c r="AY23" s="499"/>
      <c r="AZ23" s="499"/>
      <c r="BA23" s="499"/>
      <c r="BB23" s="499"/>
      <c r="BC23" s="499"/>
      <c r="BD23" s="499"/>
      <c r="BE23" s="499"/>
      <c r="BF23" s="499"/>
      <c r="BG23" s="499"/>
      <c r="BH23" s="499"/>
      <c r="BI23" s="499"/>
      <c r="BJ23" s="499"/>
      <c r="BK23" s="499"/>
      <c r="BL23" s="499"/>
      <c r="BM23" s="499"/>
      <c r="BN23" s="499"/>
      <c r="BO23" s="499"/>
      <c r="BP23" s="499"/>
      <c r="BQ23" s="499"/>
      <c r="BR23" s="499"/>
      <c r="BS23" s="499"/>
      <c r="BT23" s="499"/>
      <c r="BU23" s="499"/>
      <c r="BV23" s="499"/>
      <c r="BW23" s="499"/>
      <c r="BX23" s="499"/>
      <c r="BY23" s="499"/>
      <c r="BZ23" s="499"/>
      <c r="CA23" s="499"/>
      <c r="CB23" s="499"/>
      <c r="CC23" s="499"/>
      <c r="CD23" s="499"/>
      <c r="CE23" s="499"/>
      <c r="CF23" s="499"/>
      <c r="CG23" s="499"/>
      <c r="CH23" s="499"/>
      <c r="CI23" s="499"/>
      <c r="CJ23" s="499"/>
      <c r="CK23" s="499"/>
      <c r="CL23" s="499"/>
      <c r="CM23" s="499"/>
      <c r="CN23" s="499"/>
      <c r="CO23" s="499"/>
      <c r="CP23" s="499"/>
      <c r="CQ23" s="499"/>
      <c r="CR23" s="499"/>
      <c r="CS23" s="499"/>
      <c r="CT23" s="499"/>
      <c r="CU23" s="499"/>
      <c r="CV23" s="499"/>
      <c r="CW23" s="499"/>
      <c r="CX23" s="499"/>
      <c r="CY23" s="499"/>
      <c r="CZ23" s="499"/>
      <c r="DA23" s="499"/>
      <c r="DB23" s="499"/>
      <c r="DC23" s="499"/>
      <c r="DD23" s="499"/>
      <c r="DE23" s="499"/>
      <c r="DF23" s="499"/>
      <c r="DG23" s="499"/>
      <c r="DH23" s="499"/>
      <c r="DI23" s="499"/>
      <c r="DJ23" s="499"/>
      <c r="DK23" s="499"/>
      <c r="DL23" s="499"/>
      <c r="DM23" s="499"/>
      <c r="DN23" s="499"/>
      <c r="DO23" s="499"/>
      <c r="DP23" s="499"/>
      <c r="DQ23" s="499"/>
      <c r="DR23" s="499"/>
      <c r="DS23" s="499"/>
      <c r="DT23" s="499"/>
      <c r="DU23" s="499"/>
      <c r="DV23" s="499"/>
      <c r="DW23" s="499"/>
      <c r="DX23" s="499"/>
      <c r="DY23" s="499"/>
      <c r="DZ23" s="499"/>
      <c r="EA23" s="499"/>
      <c r="EB23" s="499"/>
      <c r="EC23" s="499"/>
      <c r="ED23" s="499"/>
      <c r="EE23" s="499"/>
      <c r="EF23" s="499"/>
      <c r="EG23" s="499"/>
      <c r="EH23" s="499"/>
      <c r="EI23" s="499"/>
      <c r="EJ23" s="499"/>
      <c r="EK23" s="499"/>
      <c r="EL23" s="499"/>
      <c r="EM23" s="499"/>
      <c r="EN23" s="499"/>
      <c r="EO23" s="499"/>
      <c r="EP23" s="499"/>
      <c r="EQ23" s="499"/>
      <c r="ER23" s="499"/>
      <c r="ES23" s="499"/>
      <c r="ET23" s="499"/>
      <c r="EU23" s="499"/>
      <c r="EV23" s="499"/>
      <c r="EW23" s="499"/>
      <c r="EX23" s="499"/>
      <c r="EY23" s="499"/>
      <c r="EZ23" s="499"/>
      <c r="FA23" s="499"/>
      <c r="FB23" s="499"/>
      <c r="FC23" s="499"/>
      <c r="FD23" s="499"/>
      <c r="FE23" s="499"/>
      <c r="FF23" s="499"/>
      <c r="FG23" s="499"/>
      <c r="FH23" s="499"/>
      <c r="FI23" s="499"/>
      <c r="FJ23" s="499"/>
      <c r="FK23" s="499"/>
      <c r="FL23" s="499"/>
      <c r="FM23" s="499"/>
      <c r="FN23" s="499"/>
      <c r="FO23" s="499"/>
      <c r="FP23" s="499"/>
      <c r="FQ23" s="499"/>
      <c r="FR23" s="499"/>
      <c r="FS23" s="499"/>
      <c r="FT23" s="499"/>
      <c r="FU23" s="499"/>
      <c r="FV23" s="499"/>
      <c r="FW23" s="499"/>
      <c r="FX23" s="499"/>
      <c r="FY23" s="499"/>
      <c r="FZ23" s="499"/>
      <c r="GA23" s="499"/>
      <c r="GB23" s="499"/>
      <c r="GC23" s="499"/>
      <c r="GD23" s="499"/>
      <c r="GE23" s="499"/>
      <c r="GF23" s="499"/>
      <c r="GG23" s="499"/>
      <c r="GH23" s="499"/>
      <c r="GI23" s="499"/>
      <c r="GJ23" s="499"/>
      <c r="GK23" s="499"/>
      <c r="GL23" s="499"/>
      <c r="GM23" s="499"/>
      <c r="GN23" s="499"/>
      <c r="GO23" s="499"/>
      <c r="GP23" s="499"/>
      <c r="GQ23" s="499"/>
      <c r="GR23" s="499"/>
      <c r="GS23" s="499"/>
      <c r="GT23" s="499"/>
      <c r="GU23" s="499"/>
      <c r="GV23" s="499"/>
      <c r="GW23" s="499"/>
      <c r="GX23" s="499"/>
      <c r="GY23" s="499"/>
      <c r="GZ23" s="499"/>
      <c r="HA23" s="499"/>
      <c r="HB23" s="499"/>
      <c r="HC23" s="499"/>
      <c r="HD23" s="499"/>
      <c r="HE23" s="499"/>
      <c r="HF23" s="499"/>
      <c r="HG23" s="499"/>
      <c r="HH23" s="499"/>
      <c r="HI23" s="499"/>
      <c r="HJ23" s="499"/>
      <c r="HK23" s="499"/>
      <c r="HL23" s="499"/>
      <c r="HM23" s="499"/>
      <c r="HN23" s="499"/>
      <c r="HO23" s="499"/>
      <c r="HP23" s="499"/>
      <c r="HQ23" s="499"/>
      <c r="HR23" s="499"/>
      <c r="HS23" s="499"/>
      <c r="HT23" s="499"/>
      <c r="HU23" s="499"/>
      <c r="HV23" s="499"/>
      <c r="HW23" s="499"/>
      <c r="HX23" s="499"/>
      <c r="HY23" s="499"/>
      <c r="HZ23" s="499"/>
      <c r="IA23" s="499"/>
      <c r="IB23" s="499"/>
      <c r="IC23" s="499"/>
      <c r="ID23" s="499"/>
      <c r="IE23" s="499"/>
      <c r="IF23" s="499"/>
      <c r="IG23" s="499"/>
      <c r="IH23" s="499"/>
      <c r="II23" s="499"/>
      <c r="IJ23" s="499"/>
      <c r="IK23" s="499"/>
      <c r="IL23" s="499"/>
      <c r="IM23" s="499"/>
      <c r="IN23" s="499"/>
      <c r="IO23" s="499"/>
      <c r="IP23" s="499"/>
      <c r="IQ23" s="499"/>
      <c r="IR23" s="499"/>
      <c r="IS23" s="499"/>
      <c r="IT23" s="499"/>
      <c r="IU23" s="499"/>
      <c r="IV23" s="499"/>
      <c r="IW23" s="499"/>
      <c r="IX23" s="499"/>
      <c r="IY23" s="499"/>
      <c r="IZ23" s="499"/>
      <c r="JA23" s="499"/>
      <c r="JB23" s="499"/>
      <c r="JC23" s="499"/>
      <c r="JD23" s="499"/>
      <c r="JE23" s="499"/>
      <c r="JF23" s="499"/>
      <c r="JG23" s="499"/>
      <c r="JH23" s="499"/>
      <c r="JI23" s="499"/>
      <c r="JJ23" s="499"/>
      <c r="JK23" s="499"/>
      <c r="JL23" s="499"/>
      <c r="JM23" s="499"/>
      <c r="JN23" s="499"/>
      <c r="JO23" s="499"/>
      <c r="JP23" s="499"/>
      <c r="JQ23" s="499"/>
      <c r="JR23" s="499"/>
      <c r="JS23" s="499"/>
      <c r="JT23" s="499"/>
      <c r="JU23" s="499"/>
      <c r="JV23" s="499"/>
      <c r="JW23" s="499"/>
      <c r="JX23" s="499"/>
      <c r="JY23" s="499"/>
      <c r="JZ23" s="499"/>
      <c r="KA23" s="499"/>
      <c r="KB23" s="499"/>
      <c r="KC23" s="499"/>
      <c r="KD23" s="499"/>
      <c r="KE23" s="499"/>
      <c r="KF23" s="499"/>
      <c r="KG23" s="499"/>
      <c r="KH23" s="499"/>
      <c r="KI23" s="499"/>
      <c r="KJ23" s="499"/>
      <c r="KK23" s="499"/>
      <c r="KL23" s="499"/>
      <c r="KM23" s="499"/>
      <c r="KN23" s="499"/>
      <c r="KO23" s="499"/>
      <c r="KP23" s="499"/>
      <c r="KQ23" s="499"/>
      <c r="KR23" s="499"/>
      <c r="KS23" s="499"/>
      <c r="KT23" s="499"/>
      <c r="KU23" s="499"/>
      <c r="KV23" s="499"/>
      <c r="KW23" s="499"/>
      <c r="KX23" s="499"/>
      <c r="KY23" s="499"/>
      <c r="KZ23" s="499"/>
      <c r="LA23" s="499"/>
      <c r="LB23" s="499"/>
      <c r="LC23" s="499"/>
      <c r="LD23" s="499"/>
      <c r="LE23" s="499"/>
      <c r="LF23" s="499"/>
      <c r="LG23" s="499"/>
      <c r="LH23" s="499"/>
      <c r="LI23" s="499"/>
      <c r="LJ23" s="499"/>
      <c r="LK23" s="499"/>
      <c r="LL23" s="499"/>
      <c r="LM23" s="499"/>
      <c r="LN23" s="499"/>
      <c r="LO23" s="499"/>
      <c r="LP23" s="499"/>
      <c r="LQ23" s="499"/>
      <c r="LR23" s="499"/>
      <c r="LS23" s="499"/>
      <c r="LT23" s="499"/>
      <c r="LU23" s="499"/>
      <c r="LV23" s="499"/>
      <c r="LW23" s="499"/>
      <c r="LX23" s="499"/>
      <c r="LY23" s="499"/>
      <c r="LZ23" s="499"/>
      <c r="MA23" s="499"/>
      <c r="MB23" s="499"/>
      <c r="MC23" s="499"/>
      <c r="MD23" s="499"/>
      <c r="ME23" s="499"/>
      <c r="MF23" s="499"/>
      <c r="MG23" s="499"/>
      <c r="MH23" s="499"/>
      <c r="MI23" s="499"/>
      <c r="MJ23" s="499"/>
      <c r="MK23" s="499"/>
      <c r="ML23" s="499"/>
      <c r="MM23" s="499"/>
      <c r="MN23" s="499"/>
      <c r="MO23" s="499"/>
      <c r="MP23" s="499"/>
      <c r="MQ23" s="499"/>
      <c r="MR23" s="499"/>
      <c r="MS23" s="499"/>
      <c r="MT23" s="499"/>
      <c r="MU23" s="499"/>
      <c r="MV23" s="499"/>
      <c r="MW23" s="499"/>
      <c r="MX23" s="499"/>
      <c r="MY23" s="499"/>
      <c r="MZ23" s="499"/>
      <c r="NA23" s="499"/>
      <c r="NB23" s="499"/>
      <c r="NC23" s="499"/>
      <c r="ND23" s="499"/>
      <c r="NE23" s="499"/>
      <c r="NF23" s="499"/>
      <c r="NG23" s="499"/>
      <c r="NH23" s="499"/>
      <c r="NI23" s="499"/>
      <c r="NJ23" s="499"/>
      <c r="NK23" s="499"/>
      <c r="NL23" s="499"/>
      <c r="NM23" s="499"/>
      <c r="NN23" s="499"/>
      <c r="NO23" s="499"/>
      <c r="NP23" s="499"/>
      <c r="NQ23" s="499"/>
      <c r="NR23" s="499"/>
      <c r="NS23" s="499"/>
      <c r="NT23" s="499"/>
      <c r="NU23" s="499"/>
      <c r="NV23" s="499"/>
      <c r="NW23" s="499"/>
      <c r="NX23" s="499"/>
      <c r="NY23" s="499"/>
      <c r="NZ23" s="499"/>
      <c r="OA23" s="499"/>
      <c r="OB23" s="499"/>
      <c r="OC23" s="499"/>
      <c r="OD23" s="499"/>
      <c r="OE23" s="499"/>
      <c r="OF23" s="499"/>
      <c r="OG23" s="499"/>
      <c r="OH23" s="499"/>
      <c r="OI23" s="499"/>
      <c r="OJ23" s="499"/>
      <c r="OK23" s="499"/>
      <c r="OL23" s="499"/>
      <c r="OM23" s="499"/>
      <c r="ON23" s="499"/>
      <c r="OO23" s="499"/>
      <c r="OP23" s="499"/>
      <c r="OQ23" s="499"/>
      <c r="OR23" s="499"/>
      <c r="OS23" s="499"/>
      <c r="OT23" s="499"/>
      <c r="OU23" s="499"/>
      <c r="OV23" s="499"/>
      <c r="OW23" s="499"/>
      <c r="OX23" s="499"/>
      <c r="OY23" s="499"/>
      <c r="OZ23" s="499"/>
      <c r="PA23" s="499"/>
      <c r="PB23" s="499"/>
      <c r="PC23" s="499"/>
      <c r="PD23" s="499"/>
      <c r="PE23" s="499"/>
      <c r="PF23" s="499"/>
      <c r="PG23" s="499"/>
      <c r="PH23" s="499"/>
      <c r="PI23" s="499"/>
      <c r="PJ23" s="499"/>
      <c r="PK23" s="499"/>
      <c r="PL23" s="499"/>
      <c r="PM23" s="499"/>
      <c r="PN23" s="499"/>
      <c r="PO23" s="499"/>
      <c r="PP23" s="499"/>
      <c r="PQ23" s="499"/>
      <c r="PR23" s="499"/>
      <c r="PS23" s="499"/>
      <c r="PT23" s="499"/>
      <c r="PU23" s="499"/>
      <c r="PV23" s="499"/>
      <c r="PW23" s="499"/>
      <c r="PX23" s="499"/>
      <c r="PY23" s="499"/>
      <c r="PZ23" s="499"/>
      <c r="QA23" s="499"/>
      <c r="QB23" s="499"/>
      <c r="QC23" s="499"/>
      <c r="QD23" s="499"/>
      <c r="QE23" s="499"/>
      <c r="QF23" s="499"/>
      <c r="QG23" s="499"/>
      <c r="QH23" s="499"/>
      <c r="QI23" s="499"/>
      <c r="QJ23" s="499"/>
      <c r="QK23" s="499"/>
      <c r="QL23" s="499"/>
      <c r="QM23" s="499"/>
      <c r="QN23" s="499"/>
      <c r="QO23" s="499"/>
      <c r="QP23" s="499"/>
      <c r="QQ23" s="499"/>
      <c r="QR23" s="499"/>
      <c r="QS23" s="499"/>
      <c r="QT23" s="499"/>
      <c r="QU23" s="499"/>
      <c r="QV23" s="499"/>
      <c r="QW23" s="499"/>
      <c r="QX23" s="499"/>
      <c r="QY23" s="499"/>
      <c r="QZ23" s="499"/>
      <c r="RA23" s="499"/>
      <c r="RB23" s="499"/>
      <c r="RC23" s="499"/>
      <c r="RD23" s="499"/>
      <c r="RE23" s="499"/>
      <c r="RF23" s="499"/>
      <c r="RG23" s="499"/>
      <c r="RH23" s="499"/>
      <c r="RI23" s="499"/>
      <c r="RJ23" s="499"/>
      <c r="RK23" s="499"/>
      <c r="RL23" s="499"/>
      <c r="RM23" s="499"/>
      <c r="RN23" s="499"/>
      <c r="RO23" s="499"/>
      <c r="RP23" s="499"/>
      <c r="RQ23" s="499"/>
      <c r="RR23" s="499"/>
      <c r="RS23" s="499"/>
      <c r="RT23" s="499"/>
      <c r="RU23" s="499"/>
      <c r="RV23" s="499"/>
      <c r="RW23" s="499"/>
      <c r="RX23" s="499"/>
      <c r="RY23" s="499"/>
      <c r="RZ23" s="499"/>
      <c r="SA23" s="499"/>
      <c r="SB23" s="499"/>
      <c r="SC23" s="499"/>
      <c r="SD23" s="499"/>
      <c r="SE23" s="499"/>
      <c r="SF23" s="499"/>
      <c r="SG23" s="499"/>
      <c r="SH23" s="499"/>
      <c r="SI23" s="499"/>
      <c r="SJ23" s="499"/>
      <c r="SK23" s="499"/>
      <c r="SL23" s="499"/>
      <c r="SM23" s="499"/>
      <c r="SN23" s="499"/>
      <c r="SO23" s="499"/>
      <c r="SP23" s="499"/>
      <c r="SQ23" s="499"/>
      <c r="SR23" s="499"/>
      <c r="SS23" s="499"/>
      <c r="ST23" s="499"/>
      <c r="SU23" s="499"/>
      <c r="SV23" s="499"/>
      <c r="SW23" s="499"/>
      <c r="SX23" s="499"/>
      <c r="SY23" s="499"/>
      <c r="SZ23" s="499"/>
      <c r="TA23" s="499"/>
      <c r="TB23" s="499"/>
      <c r="TC23" s="499"/>
      <c r="TD23" s="499"/>
      <c r="TE23" s="499"/>
      <c r="TF23" s="499"/>
      <c r="TG23" s="499"/>
      <c r="TH23" s="499"/>
      <c r="TI23" s="499"/>
      <c r="TJ23" s="499"/>
      <c r="TK23" s="499"/>
      <c r="TL23" s="499"/>
      <c r="TM23" s="499"/>
      <c r="TN23" s="499"/>
      <c r="TO23" s="499"/>
      <c r="TP23" s="499"/>
      <c r="TQ23" s="499"/>
      <c r="TR23" s="499"/>
      <c r="TS23" s="499"/>
      <c r="TT23" s="499"/>
      <c r="TU23" s="499"/>
      <c r="TV23" s="499"/>
      <c r="TW23" s="499"/>
      <c r="TX23" s="499"/>
      <c r="TY23" s="499"/>
      <c r="TZ23" s="499"/>
      <c r="UA23" s="499"/>
      <c r="UB23" s="499"/>
      <c r="UC23" s="499"/>
      <c r="UD23" s="499"/>
      <c r="UE23" s="499"/>
      <c r="UF23" s="499"/>
      <c r="UG23" s="499"/>
      <c r="UH23" s="499"/>
      <c r="UI23" s="499"/>
      <c r="UJ23" s="499"/>
      <c r="UK23" s="499"/>
      <c r="UL23" s="499"/>
      <c r="UM23" s="499"/>
      <c r="UN23" s="499"/>
      <c r="UO23" s="499"/>
      <c r="UP23" s="499"/>
      <c r="UQ23" s="499"/>
      <c r="UR23" s="499"/>
      <c r="US23" s="499"/>
      <c r="UT23" s="499"/>
      <c r="UU23" s="499"/>
      <c r="UV23" s="499"/>
      <c r="UW23" s="499"/>
      <c r="UX23" s="499"/>
      <c r="UY23" s="499"/>
      <c r="UZ23" s="499"/>
      <c r="VA23" s="499"/>
      <c r="VB23" s="499"/>
      <c r="VC23" s="499"/>
      <c r="VD23" s="499"/>
      <c r="VE23" s="499"/>
      <c r="VF23" s="499"/>
      <c r="VG23" s="499"/>
      <c r="VH23" s="499"/>
      <c r="VI23" s="499"/>
      <c r="VJ23" s="499"/>
      <c r="VK23" s="499"/>
      <c r="VL23" s="499"/>
      <c r="VM23" s="499"/>
      <c r="VN23" s="499"/>
      <c r="VO23" s="499"/>
      <c r="VP23" s="499"/>
      <c r="VQ23" s="499"/>
      <c r="VR23" s="499"/>
      <c r="VS23" s="499"/>
      <c r="VT23" s="499"/>
      <c r="VU23" s="499"/>
      <c r="VV23" s="499"/>
      <c r="VW23" s="499"/>
      <c r="VX23" s="499"/>
      <c r="VY23" s="499"/>
      <c r="VZ23" s="499"/>
      <c r="WA23" s="499"/>
      <c r="WB23" s="499"/>
      <c r="WC23" s="499"/>
      <c r="WD23" s="499"/>
      <c r="WE23" s="499"/>
      <c r="WF23" s="499"/>
    </row>
    <row r="24" spans="1:604" s="498" customFormat="1" ht="45" customHeight="1" x14ac:dyDescent="0.2">
      <c r="A24" s="486"/>
      <c r="B24" s="486"/>
      <c r="C24" s="450" t="s">
        <v>8</v>
      </c>
      <c r="D24" s="450" t="s">
        <v>192</v>
      </c>
      <c r="E24" s="441" t="s">
        <v>65</v>
      </c>
      <c r="F24" s="442" t="s">
        <v>66</v>
      </c>
      <c r="G24" s="443">
        <f>'MC-PAV'!I24</f>
        <v>1350</v>
      </c>
      <c r="H24" s="437" t="s">
        <v>3</v>
      </c>
      <c r="I24" s="477">
        <v>47.48</v>
      </c>
      <c r="J24" s="439">
        <f>ROUND(I24*(1+$J$9),2)</f>
        <v>60.52</v>
      </c>
      <c r="K24" s="476">
        <f>ROUND(J24*G24,2)</f>
        <v>81702</v>
      </c>
      <c r="L24" s="478"/>
      <c r="M24" s="473"/>
      <c r="N24" s="502"/>
      <c r="O24" s="502"/>
      <c r="P24" s="502"/>
      <c r="Q24" s="499"/>
      <c r="R24" s="499"/>
      <c r="S24" s="499"/>
      <c r="T24" s="499"/>
      <c r="U24" s="499"/>
      <c r="V24" s="499"/>
      <c r="W24" s="499"/>
      <c r="X24" s="499"/>
      <c r="Y24" s="499"/>
      <c r="Z24" s="499"/>
      <c r="AA24" s="499"/>
      <c r="AB24" s="499"/>
      <c r="AC24" s="499"/>
      <c r="AD24" s="499"/>
      <c r="AE24" s="499"/>
      <c r="AF24" s="499"/>
      <c r="AG24" s="499"/>
      <c r="AH24" s="499"/>
      <c r="AI24" s="499"/>
      <c r="AJ24" s="499"/>
      <c r="AK24" s="499"/>
      <c r="AL24" s="499"/>
      <c r="AM24" s="499"/>
      <c r="AN24" s="499"/>
      <c r="AO24" s="499"/>
      <c r="AP24" s="499"/>
      <c r="AQ24" s="499"/>
      <c r="AR24" s="499"/>
      <c r="AS24" s="499"/>
      <c r="AT24" s="499"/>
      <c r="AU24" s="499"/>
      <c r="AV24" s="499"/>
      <c r="AW24" s="499"/>
      <c r="AX24" s="499"/>
      <c r="AY24" s="499"/>
      <c r="AZ24" s="499"/>
      <c r="BA24" s="499"/>
      <c r="BB24" s="499"/>
      <c r="BC24" s="499"/>
      <c r="BD24" s="499"/>
      <c r="BE24" s="499"/>
      <c r="BF24" s="499"/>
      <c r="BG24" s="499"/>
      <c r="BH24" s="499"/>
      <c r="BI24" s="499"/>
      <c r="BJ24" s="499"/>
      <c r="BK24" s="499"/>
      <c r="BL24" s="499"/>
      <c r="BM24" s="499"/>
      <c r="BN24" s="499"/>
      <c r="BO24" s="499"/>
      <c r="BP24" s="499"/>
      <c r="BQ24" s="499"/>
      <c r="BR24" s="499"/>
      <c r="BS24" s="499"/>
      <c r="BT24" s="499"/>
      <c r="BU24" s="499"/>
      <c r="BV24" s="499"/>
      <c r="BW24" s="499"/>
      <c r="BX24" s="499"/>
      <c r="BY24" s="499"/>
      <c r="BZ24" s="499"/>
      <c r="CA24" s="499"/>
      <c r="CB24" s="499"/>
      <c r="CC24" s="499"/>
      <c r="CD24" s="499"/>
      <c r="CE24" s="499"/>
      <c r="CF24" s="499"/>
      <c r="CG24" s="499"/>
      <c r="CH24" s="499"/>
      <c r="CI24" s="499"/>
      <c r="CJ24" s="499"/>
      <c r="CK24" s="499"/>
      <c r="CL24" s="499"/>
      <c r="CM24" s="499"/>
      <c r="CN24" s="499"/>
      <c r="CO24" s="499"/>
      <c r="CP24" s="499"/>
      <c r="CQ24" s="499"/>
      <c r="CR24" s="499"/>
      <c r="CS24" s="499"/>
      <c r="CT24" s="499"/>
      <c r="CU24" s="499"/>
      <c r="CV24" s="499"/>
      <c r="CW24" s="499"/>
      <c r="CX24" s="499"/>
      <c r="CY24" s="499"/>
      <c r="CZ24" s="499"/>
      <c r="DA24" s="499"/>
      <c r="DB24" s="499"/>
      <c r="DC24" s="499"/>
      <c r="DD24" s="499"/>
      <c r="DE24" s="499"/>
      <c r="DF24" s="499"/>
      <c r="DG24" s="499"/>
      <c r="DH24" s="499"/>
      <c r="DI24" s="499"/>
      <c r="DJ24" s="499"/>
      <c r="DK24" s="499"/>
      <c r="DL24" s="499"/>
      <c r="DM24" s="499"/>
      <c r="DN24" s="499"/>
      <c r="DO24" s="499"/>
      <c r="DP24" s="499"/>
      <c r="DQ24" s="499"/>
      <c r="DR24" s="499"/>
      <c r="DS24" s="499"/>
      <c r="DT24" s="499"/>
      <c r="DU24" s="499"/>
      <c r="DV24" s="499"/>
      <c r="DW24" s="499"/>
      <c r="DX24" s="499"/>
      <c r="DY24" s="499"/>
      <c r="DZ24" s="499"/>
      <c r="EA24" s="499"/>
      <c r="EB24" s="499"/>
      <c r="EC24" s="499"/>
      <c r="ED24" s="499"/>
      <c r="EE24" s="499"/>
      <c r="EF24" s="499"/>
      <c r="EG24" s="499"/>
      <c r="EH24" s="499"/>
      <c r="EI24" s="499"/>
      <c r="EJ24" s="499"/>
      <c r="EK24" s="499"/>
      <c r="EL24" s="499"/>
      <c r="EM24" s="499"/>
      <c r="EN24" s="499"/>
      <c r="EO24" s="499"/>
      <c r="EP24" s="499"/>
      <c r="EQ24" s="499"/>
      <c r="ER24" s="499"/>
      <c r="ES24" s="499"/>
      <c r="ET24" s="499"/>
      <c r="EU24" s="499"/>
      <c r="EV24" s="499"/>
      <c r="EW24" s="499"/>
      <c r="EX24" s="499"/>
      <c r="EY24" s="499"/>
      <c r="EZ24" s="499"/>
      <c r="FA24" s="499"/>
      <c r="FB24" s="499"/>
      <c r="FC24" s="499"/>
      <c r="FD24" s="499"/>
      <c r="FE24" s="499"/>
      <c r="FF24" s="499"/>
      <c r="FG24" s="499"/>
      <c r="FH24" s="499"/>
      <c r="FI24" s="499"/>
      <c r="FJ24" s="499"/>
      <c r="FK24" s="499"/>
      <c r="FL24" s="499"/>
      <c r="FM24" s="499"/>
      <c r="FN24" s="499"/>
      <c r="FO24" s="499"/>
      <c r="FP24" s="499"/>
      <c r="FQ24" s="499"/>
      <c r="FR24" s="499"/>
      <c r="FS24" s="499"/>
      <c r="FT24" s="499"/>
      <c r="FU24" s="499"/>
      <c r="FV24" s="499"/>
      <c r="FW24" s="499"/>
      <c r="FX24" s="499"/>
      <c r="FY24" s="499"/>
      <c r="FZ24" s="499"/>
      <c r="GA24" s="499"/>
      <c r="GB24" s="499"/>
      <c r="GC24" s="499"/>
      <c r="GD24" s="499"/>
      <c r="GE24" s="499"/>
      <c r="GF24" s="499"/>
      <c r="GG24" s="499"/>
      <c r="GH24" s="499"/>
      <c r="GI24" s="499"/>
      <c r="GJ24" s="499"/>
      <c r="GK24" s="499"/>
      <c r="GL24" s="499"/>
      <c r="GM24" s="499"/>
      <c r="GN24" s="499"/>
      <c r="GO24" s="499"/>
      <c r="GP24" s="499"/>
      <c r="GQ24" s="499"/>
      <c r="GR24" s="499"/>
      <c r="GS24" s="499"/>
      <c r="GT24" s="499"/>
      <c r="GU24" s="499"/>
      <c r="GV24" s="499"/>
      <c r="GW24" s="499"/>
      <c r="GX24" s="499"/>
      <c r="GY24" s="499"/>
      <c r="GZ24" s="499"/>
      <c r="HA24" s="499"/>
      <c r="HB24" s="499"/>
      <c r="HC24" s="499"/>
      <c r="HD24" s="499"/>
      <c r="HE24" s="499"/>
      <c r="HF24" s="499"/>
      <c r="HG24" s="499"/>
      <c r="HH24" s="499"/>
      <c r="HI24" s="499"/>
      <c r="HJ24" s="499"/>
      <c r="HK24" s="499"/>
      <c r="HL24" s="499"/>
      <c r="HM24" s="499"/>
      <c r="HN24" s="499"/>
      <c r="HO24" s="499"/>
      <c r="HP24" s="499"/>
      <c r="HQ24" s="499"/>
      <c r="HR24" s="499"/>
      <c r="HS24" s="499"/>
      <c r="HT24" s="499"/>
      <c r="HU24" s="499"/>
      <c r="HV24" s="499"/>
      <c r="HW24" s="499"/>
      <c r="HX24" s="499"/>
      <c r="HY24" s="499"/>
      <c r="HZ24" s="499"/>
      <c r="IA24" s="499"/>
      <c r="IB24" s="499"/>
      <c r="IC24" s="499"/>
      <c r="ID24" s="499"/>
      <c r="IE24" s="499"/>
      <c r="IF24" s="499"/>
      <c r="IG24" s="499"/>
      <c r="IH24" s="499"/>
      <c r="II24" s="499"/>
      <c r="IJ24" s="499"/>
      <c r="IK24" s="499"/>
      <c r="IL24" s="499"/>
      <c r="IM24" s="499"/>
      <c r="IN24" s="499"/>
      <c r="IO24" s="499"/>
      <c r="IP24" s="499"/>
      <c r="IQ24" s="499"/>
      <c r="IR24" s="499"/>
      <c r="IS24" s="499"/>
      <c r="IT24" s="499"/>
      <c r="IU24" s="499"/>
      <c r="IV24" s="499"/>
      <c r="IW24" s="499"/>
      <c r="IX24" s="499"/>
      <c r="IY24" s="499"/>
      <c r="IZ24" s="499"/>
      <c r="JA24" s="499"/>
      <c r="JB24" s="499"/>
      <c r="JC24" s="499"/>
      <c r="JD24" s="499"/>
      <c r="JE24" s="499"/>
      <c r="JF24" s="499"/>
      <c r="JG24" s="499"/>
      <c r="JH24" s="499"/>
      <c r="JI24" s="499"/>
      <c r="JJ24" s="499"/>
      <c r="JK24" s="499"/>
      <c r="JL24" s="499"/>
      <c r="JM24" s="499"/>
      <c r="JN24" s="499"/>
      <c r="JO24" s="499"/>
      <c r="JP24" s="499"/>
      <c r="JQ24" s="499"/>
      <c r="JR24" s="499"/>
      <c r="JS24" s="499"/>
      <c r="JT24" s="499"/>
      <c r="JU24" s="499"/>
      <c r="JV24" s="499"/>
      <c r="JW24" s="499"/>
      <c r="JX24" s="499"/>
      <c r="JY24" s="499"/>
      <c r="JZ24" s="499"/>
      <c r="KA24" s="499"/>
      <c r="KB24" s="499"/>
      <c r="KC24" s="499"/>
      <c r="KD24" s="499"/>
      <c r="KE24" s="499"/>
      <c r="KF24" s="499"/>
      <c r="KG24" s="499"/>
      <c r="KH24" s="499"/>
      <c r="KI24" s="499"/>
      <c r="KJ24" s="499"/>
      <c r="KK24" s="499"/>
      <c r="KL24" s="499"/>
      <c r="KM24" s="499"/>
      <c r="KN24" s="499"/>
      <c r="KO24" s="499"/>
      <c r="KP24" s="499"/>
      <c r="KQ24" s="499"/>
      <c r="KR24" s="499"/>
      <c r="KS24" s="499"/>
      <c r="KT24" s="499"/>
      <c r="KU24" s="499"/>
      <c r="KV24" s="499"/>
      <c r="KW24" s="499"/>
      <c r="KX24" s="499"/>
      <c r="KY24" s="499"/>
      <c r="KZ24" s="499"/>
      <c r="LA24" s="499"/>
      <c r="LB24" s="499"/>
      <c r="LC24" s="499"/>
      <c r="LD24" s="499"/>
      <c r="LE24" s="499"/>
      <c r="LF24" s="499"/>
      <c r="LG24" s="499"/>
      <c r="LH24" s="499"/>
      <c r="LI24" s="499"/>
      <c r="LJ24" s="499"/>
      <c r="LK24" s="499"/>
      <c r="LL24" s="499"/>
      <c r="LM24" s="499"/>
      <c r="LN24" s="499"/>
      <c r="LO24" s="499"/>
      <c r="LP24" s="499"/>
      <c r="LQ24" s="499"/>
      <c r="LR24" s="499"/>
      <c r="LS24" s="499"/>
      <c r="LT24" s="499"/>
      <c r="LU24" s="499"/>
      <c r="LV24" s="499"/>
      <c r="LW24" s="499"/>
      <c r="LX24" s="499"/>
      <c r="LY24" s="499"/>
      <c r="LZ24" s="499"/>
      <c r="MA24" s="499"/>
      <c r="MB24" s="499"/>
      <c r="MC24" s="499"/>
      <c r="MD24" s="499"/>
      <c r="ME24" s="499"/>
      <c r="MF24" s="499"/>
      <c r="MG24" s="499"/>
      <c r="MH24" s="499"/>
      <c r="MI24" s="499"/>
      <c r="MJ24" s="499"/>
      <c r="MK24" s="499"/>
      <c r="ML24" s="499"/>
      <c r="MM24" s="499"/>
      <c r="MN24" s="499"/>
      <c r="MO24" s="499"/>
      <c r="MP24" s="499"/>
      <c r="MQ24" s="499"/>
      <c r="MR24" s="499"/>
      <c r="MS24" s="499"/>
      <c r="MT24" s="499"/>
      <c r="MU24" s="499"/>
      <c r="MV24" s="499"/>
      <c r="MW24" s="499"/>
      <c r="MX24" s="499"/>
      <c r="MY24" s="499"/>
      <c r="MZ24" s="499"/>
      <c r="NA24" s="499"/>
      <c r="NB24" s="499"/>
      <c r="NC24" s="499"/>
      <c r="ND24" s="499"/>
      <c r="NE24" s="499"/>
      <c r="NF24" s="499"/>
      <c r="NG24" s="499"/>
      <c r="NH24" s="499"/>
      <c r="NI24" s="499"/>
      <c r="NJ24" s="499"/>
      <c r="NK24" s="499"/>
      <c r="NL24" s="499"/>
      <c r="NM24" s="499"/>
      <c r="NN24" s="499"/>
      <c r="NO24" s="499"/>
      <c r="NP24" s="499"/>
      <c r="NQ24" s="499"/>
      <c r="NR24" s="499"/>
      <c r="NS24" s="499"/>
      <c r="NT24" s="499"/>
      <c r="NU24" s="499"/>
      <c r="NV24" s="499"/>
      <c r="NW24" s="499"/>
      <c r="NX24" s="499"/>
      <c r="NY24" s="499"/>
      <c r="NZ24" s="499"/>
      <c r="OA24" s="499"/>
      <c r="OB24" s="499"/>
      <c r="OC24" s="499"/>
      <c r="OD24" s="499"/>
      <c r="OE24" s="499"/>
      <c r="OF24" s="499"/>
      <c r="OG24" s="499"/>
      <c r="OH24" s="499"/>
      <c r="OI24" s="499"/>
      <c r="OJ24" s="499"/>
      <c r="OK24" s="499"/>
      <c r="OL24" s="499"/>
      <c r="OM24" s="499"/>
      <c r="ON24" s="499"/>
      <c r="OO24" s="499"/>
      <c r="OP24" s="499"/>
      <c r="OQ24" s="499"/>
      <c r="OR24" s="499"/>
      <c r="OS24" s="499"/>
      <c r="OT24" s="499"/>
      <c r="OU24" s="499"/>
      <c r="OV24" s="499"/>
      <c r="OW24" s="499"/>
      <c r="OX24" s="499"/>
      <c r="OY24" s="499"/>
      <c r="OZ24" s="499"/>
      <c r="PA24" s="499"/>
      <c r="PB24" s="499"/>
      <c r="PC24" s="499"/>
      <c r="PD24" s="499"/>
      <c r="PE24" s="499"/>
      <c r="PF24" s="499"/>
      <c r="PG24" s="499"/>
      <c r="PH24" s="499"/>
      <c r="PI24" s="499"/>
      <c r="PJ24" s="499"/>
      <c r="PK24" s="499"/>
      <c r="PL24" s="499"/>
      <c r="PM24" s="499"/>
      <c r="PN24" s="499"/>
      <c r="PO24" s="499"/>
      <c r="PP24" s="499"/>
      <c r="PQ24" s="499"/>
      <c r="PR24" s="499"/>
      <c r="PS24" s="499"/>
      <c r="PT24" s="499"/>
      <c r="PU24" s="499"/>
      <c r="PV24" s="499"/>
      <c r="PW24" s="499"/>
      <c r="PX24" s="499"/>
      <c r="PY24" s="499"/>
      <c r="PZ24" s="499"/>
      <c r="QA24" s="499"/>
      <c r="QB24" s="499"/>
      <c r="QC24" s="499"/>
      <c r="QD24" s="499"/>
      <c r="QE24" s="499"/>
      <c r="QF24" s="499"/>
      <c r="QG24" s="499"/>
      <c r="QH24" s="499"/>
      <c r="QI24" s="499"/>
      <c r="QJ24" s="499"/>
      <c r="QK24" s="499"/>
      <c r="QL24" s="499"/>
      <c r="QM24" s="499"/>
      <c r="QN24" s="499"/>
      <c r="QO24" s="499"/>
      <c r="QP24" s="499"/>
      <c r="QQ24" s="499"/>
      <c r="QR24" s="499"/>
      <c r="QS24" s="499"/>
      <c r="QT24" s="499"/>
      <c r="QU24" s="499"/>
      <c r="QV24" s="499"/>
      <c r="QW24" s="499"/>
      <c r="QX24" s="499"/>
      <c r="QY24" s="499"/>
      <c r="QZ24" s="499"/>
      <c r="RA24" s="499"/>
      <c r="RB24" s="499"/>
      <c r="RC24" s="499"/>
      <c r="RD24" s="499"/>
      <c r="RE24" s="499"/>
      <c r="RF24" s="499"/>
      <c r="RG24" s="499"/>
      <c r="RH24" s="499"/>
      <c r="RI24" s="499"/>
      <c r="RJ24" s="499"/>
      <c r="RK24" s="499"/>
      <c r="RL24" s="499"/>
      <c r="RM24" s="499"/>
      <c r="RN24" s="499"/>
      <c r="RO24" s="499"/>
      <c r="RP24" s="499"/>
      <c r="RQ24" s="499"/>
      <c r="RR24" s="499"/>
      <c r="RS24" s="499"/>
      <c r="RT24" s="499"/>
      <c r="RU24" s="499"/>
      <c r="RV24" s="499"/>
      <c r="RW24" s="499"/>
      <c r="RX24" s="499"/>
      <c r="RY24" s="499"/>
      <c r="RZ24" s="499"/>
      <c r="SA24" s="499"/>
      <c r="SB24" s="499"/>
      <c r="SC24" s="499"/>
      <c r="SD24" s="499"/>
      <c r="SE24" s="499"/>
      <c r="SF24" s="499"/>
      <c r="SG24" s="499"/>
      <c r="SH24" s="499"/>
      <c r="SI24" s="499"/>
      <c r="SJ24" s="499"/>
      <c r="SK24" s="499"/>
      <c r="SL24" s="499"/>
      <c r="SM24" s="499"/>
      <c r="SN24" s="499"/>
      <c r="SO24" s="499"/>
      <c r="SP24" s="499"/>
      <c r="SQ24" s="499"/>
      <c r="SR24" s="499"/>
      <c r="SS24" s="499"/>
      <c r="ST24" s="499"/>
      <c r="SU24" s="499"/>
      <c r="SV24" s="499"/>
      <c r="SW24" s="499"/>
      <c r="SX24" s="499"/>
      <c r="SY24" s="499"/>
      <c r="SZ24" s="499"/>
      <c r="TA24" s="499"/>
      <c r="TB24" s="499"/>
      <c r="TC24" s="499"/>
      <c r="TD24" s="499"/>
      <c r="TE24" s="499"/>
      <c r="TF24" s="499"/>
      <c r="TG24" s="499"/>
      <c r="TH24" s="499"/>
      <c r="TI24" s="499"/>
      <c r="TJ24" s="499"/>
      <c r="TK24" s="499"/>
      <c r="TL24" s="499"/>
      <c r="TM24" s="499"/>
      <c r="TN24" s="499"/>
      <c r="TO24" s="499"/>
      <c r="TP24" s="499"/>
      <c r="TQ24" s="499"/>
      <c r="TR24" s="499"/>
      <c r="TS24" s="499"/>
      <c r="TT24" s="499"/>
      <c r="TU24" s="499"/>
      <c r="TV24" s="499"/>
      <c r="TW24" s="499"/>
      <c r="TX24" s="499"/>
      <c r="TY24" s="499"/>
      <c r="TZ24" s="499"/>
      <c r="UA24" s="499"/>
      <c r="UB24" s="499"/>
      <c r="UC24" s="499"/>
      <c r="UD24" s="499"/>
      <c r="UE24" s="499"/>
      <c r="UF24" s="499"/>
      <c r="UG24" s="499"/>
      <c r="UH24" s="499"/>
      <c r="UI24" s="499"/>
      <c r="UJ24" s="499"/>
      <c r="UK24" s="499"/>
      <c r="UL24" s="499"/>
      <c r="UM24" s="499"/>
      <c r="UN24" s="499"/>
      <c r="UO24" s="499"/>
      <c r="UP24" s="499"/>
      <c r="UQ24" s="499"/>
      <c r="UR24" s="499"/>
      <c r="US24" s="499"/>
      <c r="UT24" s="499"/>
      <c r="UU24" s="499"/>
      <c r="UV24" s="499"/>
      <c r="UW24" s="499"/>
      <c r="UX24" s="499"/>
      <c r="UY24" s="499"/>
      <c r="UZ24" s="499"/>
      <c r="VA24" s="499"/>
      <c r="VB24" s="499"/>
      <c r="VC24" s="499"/>
      <c r="VD24" s="499"/>
      <c r="VE24" s="499"/>
      <c r="VF24" s="499"/>
      <c r="VG24" s="499"/>
      <c r="VH24" s="499"/>
      <c r="VI24" s="499"/>
      <c r="VJ24" s="499"/>
      <c r="VK24" s="499"/>
      <c r="VL24" s="499"/>
      <c r="VM24" s="499"/>
      <c r="VN24" s="499"/>
      <c r="VO24" s="499"/>
      <c r="VP24" s="499"/>
      <c r="VQ24" s="499"/>
      <c r="VR24" s="499"/>
      <c r="VS24" s="499"/>
      <c r="VT24" s="499"/>
      <c r="VU24" s="499"/>
      <c r="VV24" s="499"/>
      <c r="VW24" s="499"/>
      <c r="VX24" s="499"/>
      <c r="VY24" s="499"/>
      <c r="VZ24" s="499"/>
      <c r="WA24" s="499"/>
      <c r="WB24" s="499"/>
      <c r="WC24" s="499"/>
      <c r="WD24" s="499"/>
      <c r="WE24" s="499"/>
      <c r="WF24" s="499"/>
    </row>
    <row r="25" spans="1:604" s="498" customFormat="1" ht="45" customHeight="1" x14ac:dyDescent="0.2">
      <c r="A25" s="486"/>
      <c r="B25" s="486"/>
      <c r="C25" s="450" t="s">
        <v>667</v>
      </c>
      <c r="D25" s="450" t="s">
        <v>192</v>
      </c>
      <c r="E25" s="441" t="s">
        <v>67</v>
      </c>
      <c r="F25" s="442" t="s">
        <v>68</v>
      </c>
      <c r="G25" s="443">
        <f>G24</f>
        <v>1350</v>
      </c>
      <c r="H25" s="437" t="s">
        <v>3</v>
      </c>
      <c r="I25" s="477">
        <v>38.090000000000003</v>
      </c>
      <c r="J25" s="439">
        <f>ROUND(I25*(1+$J$9),2)</f>
        <v>48.55</v>
      </c>
      <c r="K25" s="476">
        <f>ROUND(J25*G25,2)</f>
        <v>65542.5</v>
      </c>
      <c r="L25" s="478"/>
      <c r="M25" s="473"/>
      <c r="N25" s="502"/>
      <c r="O25" s="502"/>
      <c r="P25" s="502"/>
      <c r="Q25" s="499"/>
      <c r="R25" s="499"/>
      <c r="S25" s="499"/>
      <c r="T25" s="499"/>
      <c r="U25" s="499"/>
      <c r="V25" s="499"/>
      <c r="W25" s="499"/>
      <c r="X25" s="499"/>
      <c r="Y25" s="499"/>
      <c r="Z25" s="499"/>
      <c r="AA25" s="499"/>
      <c r="AB25" s="499"/>
      <c r="AC25" s="499"/>
      <c r="AD25" s="499"/>
      <c r="AE25" s="499"/>
      <c r="AF25" s="499"/>
      <c r="AG25" s="499"/>
      <c r="AH25" s="499"/>
      <c r="AI25" s="499"/>
      <c r="AJ25" s="499"/>
      <c r="AK25" s="499"/>
      <c r="AL25" s="499"/>
      <c r="AM25" s="499"/>
      <c r="AN25" s="499"/>
      <c r="AO25" s="499"/>
      <c r="AP25" s="499"/>
      <c r="AQ25" s="499"/>
      <c r="AR25" s="499"/>
      <c r="AS25" s="499"/>
      <c r="AT25" s="499"/>
      <c r="AU25" s="499"/>
      <c r="AV25" s="499"/>
      <c r="AW25" s="499"/>
      <c r="AX25" s="499"/>
      <c r="AY25" s="499"/>
      <c r="AZ25" s="499"/>
      <c r="BA25" s="499"/>
      <c r="BB25" s="499"/>
      <c r="BC25" s="499"/>
      <c r="BD25" s="499"/>
      <c r="BE25" s="499"/>
      <c r="BF25" s="499"/>
      <c r="BG25" s="499"/>
      <c r="BH25" s="499"/>
      <c r="BI25" s="499"/>
      <c r="BJ25" s="499"/>
      <c r="BK25" s="499"/>
      <c r="BL25" s="499"/>
      <c r="BM25" s="499"/>
      <c r="BN25" s="499"/>
      <c r="BO25" s="499"/>
      <c r="BP25" s="499"/>
      <c r="BQ25" s="499"/>
      <c r="BR25" s="499"/>
      <c r="BS25" s="499"/>
      <c r="BT25" s="499"/>
      <c r="BU25" s="499"/>
      <c r="BV25" s="499"/>
      <c r="BW25" s="499"/>
      <c r="BX25" s="499"/>
      <c r="BY25" s="499"/>
      <c r="BZ25" s="499"/>
      <c r="CA25" s="499"/>
      <c r="CB25" s="499"/>
      <c r="CC25" s="499"/>
      <c r="CD25" s="499"/>
      <c r="CE25" s="499"/>
      <c r="CF25" s="499"/>
      <c r="CG25" s="499"/>
      <c r="CH25" s="499"/>
      <c r="CI25" s="499"/>
      <c r="CJ25" s="499"/>
      <c r="CK25" s="499"/>
      <c r="CL25" s="499"/>
      <c r="CM25" s="499"/>
      <c r="CN25" s="499"/>
      <c r="CO25" s="499"/>
      <c r="CP25" s="499"/>
      <c r="CQ25" s="499"/>
      <c r="CR25" s="499"/>
      <c r="CS25" s="499"/>
      <c r="CT25" s="499"/>
      <c r="CU25" s="499"/>
      <c r="CV25" s="499"/>
      <c r="CW25" s="499"/>
      <c r="CX25" s="499"/>
      <c r="CY25" s="499"/>
      <c r="CZ25" s="499"/>
      <c r="DA25" s="499"/>
      <c r="DB25" s="499"/>
      <c r="DC25" s="499"/>
      <c r="DD25" s="499"/>
      <c r="DE25" s="499"/>
      <c r="DF25" s="499"/>
      <c r="DG25" s="499"/>
      <c r="DH25" s="499"/>
      <c r="DI25" s="499"/>
      <c r="DJ25" s="499"/>
      <c r="DK25" s="499"/>
      <c r="DL25" s="499"/>
      <c r="DM25" s="499"/>
      <c r="DN25" s="499"/>
      <c r="DO25" s="499"/>
      <c r="DP25" s="499"/>
      <c r="DQ25" s="499"/>
      <c r="DR25" s="499"/>
      <c r="DS25" s="499"/>
      <c r="DT25" s="499"/>
      <c r="DU25" s="499"/>
      <c r="DV25" s="499"/>
      <c r="DW25" s="499"/>
      <c r="DX25" s="499"/>
      <c r="DY25" s="499"/>
      <c r="DZ25" s="499"/>
      <c r="EA25" s="499"/>
      <c r="EB25" s="499"/>
      <c r="EC25" s="499"/>
      <c r="ED25" s="499"/>
      <c r="EE25" s="499"/>
      <c r="EF25" s="499"/>
      <c r="EG25" s="499"/>
      <c r="EH25" s="499"/>
      <c r="EI25" s="499"/>
      <c r="EJ25" s="499"/>
      <c r="EK25" s="499"/>
      <c r="EL25" s="499"/>
      <c r="EM25" s="499"/>
      <c r="EN25" s="499"/>
      <c r="EO25" s="499"/>
      <c r="EP25" s="499"/>
      <c r="EQ25" s="499"/>
      <c r="ER25" s="499"/>
      <c r="ES25" s="499"/>
      <c r="ET25" s="499"/>
      <c r="EU25" s="499"/>
      <c r="EV25" s="499"/>
      <c r="EW25" s="499"/>
      <c r="EX25" s="499"/>
      <c r="EY25" s="499"/>
      <c r="EZ25" s="499"/>
      <c r="FA25" s="499"/>
      <c r="FB25" s="499"/>
      <c r="FC25" s="499"/>
      <c r="FD25" s="499"/>
      <c r="FE25" s="499"/>
      <c r="FF25" s="499"/>
      <c r="FG25" s="499"/>
      <c r="FH25" s="499"/>
      <c r="FI25" s="499"/>
      <c r="FJ25" s="499"/>
      <c r="FK25" s="499"/>
      <c r="FL25" s="499"/>
      <c r="FM25" s="499"/>
      <c r="FN25" s="499"/>
      <c r="FO25" s="499"/>
      <c r="FP25" s="499"/>
      <c r="FQ25" s="499"/>
      <c r="FR25" s="499"/>
      <c r="FS25" s="499"/>
      <c r="FT25" s="499"/>
      <c r="FU25" s="499"/>
      <c r="FV25" s="499"/>
      <c r="FW25" s="499"/>
      <c r="FX25" s="499"/>
      <c r="FY25" s="499"/>
      <c r="FZ25" s="499"/>
      <c r="GA25" s="499"/>
      <c r="GB25" s="499"/>
      <c r="GC25" s="499"/>
      <c r="GD25" s="499"/>
      <c r="GE25" s="499"/>
      <c r="GF25" s="499"/>
      <c r="GG25" s="499"/>
      <c r="GH25" s="499"/>
      <c r="GI25" s="499"/>
      <c r="GJ25" s="499"/>
      <c r="GK25" s="499"/>
      <c r="GL25" s="499"/>
      <c r="GM25" s="499"/>
      <c r="GN25" s="499"/>
      <c r="GO25" s="499"/>
      <c r="GP25" s="499"/>
      <c r="GQ25" s="499"/>
      <c r="GR25" s="499"/>
      <c r="GS25" s="499"/>
      <c r="GT25" s="499"/>
      <c r="GU25" s="499"/>
      <c r="GV25" s="499"/>
      <c r="GW25" s="499"/>
      <c r="GX25" s="499"/>
      <c r="GY25" s="499"/>
      <c r="GZ25" s="499"/>
      <c r="HA25" s="499"/>
      <c r="HB25" s="499"/>
      <c r="HC25" s="499"/>
      <c r="HD25" s="499"/>
      <c r="HE25" s="499"/>
      <c r="HF25" s="499"/>
      <c r="HG25" s="499"/>
      <c r="HH25" s="499"/>
      <c r="HI25" s="499"/>
      <c r="HJ25" s="499"/>
      <c r="HK25" s="499"/>
      <c r="HL25" s="499"/>
      <c r="HM25" s="499"/>
      <c r="HN25" s="499"/>
      <c r="HO25" s="499"/>
      <c r="HP25" s="499"/>
      <c r="HQ25" s="499"/>
      <c r="HR25" s="499"/>
      <c r="HS25" s="499"/>
      <c r="HT25" s="499"/>
      <c r="HU25" s="499"/>
      <c r="HV25" s="499"/>
      <c r="HW25" s="499"/>
      <c r="HX25" s="499"/>
      <c r="HY25" s="499"/>
      <c r="HZ25" s="499"/>
      <c r="IA25" s="499"/>
      <c r="IB25" s="499"/>
      <c r="IC25" s="499"/>
      <c r="ID25" s="499"/>
      <c r="IE25" s="499"/>
      <c r="IF25" s="499"/>
      <c r="IG25" s="499"/>
      <c r="IH25" s="499"/>
      <c r="II25" s="499"/>
      <c r="IJ25" s="499"/>
      <c r="IK25" s="499"/>
      <c r="IL25" s="499"/>
      <c r="IM25" s="499"/>
      <c r="IN25" s="499"/>
      <c r="IO25" s="499"/>
      <c r="IP25" s="499"/>
      <c r="IQ25" s="499"/>
      <c r="IR25" s="499"/>
      <c r="IS25" s="499"/>
      <c r="IT25" s="499"/>
      <c r="IU25" s="499"/>
      <c r="IV25" s="499"/>
      <c r="IW25" s="499"/>
      <c r="IX25" s="499"/>
      <c r="IY25" s="499"/>
      <c r="IZ25" s="499"/>
      <c r="JA25" s="499"/>
      <c r="JB25" s="499"/>
      <c r="JC25" s="499"/>
      <c r="JD25" s="499"/>
      <c r="JE25" s="499"/>
      <c r="JF25" s="499"/>
      <c r="JG25" s="499"/>
      <c r="JH25" s="499"/>
      <c r="JI25" s="499"/>
      <c r="JJ25" s="499"/>
      <c r="JK25" s="499"/>
      <c r="JL25" s="499"/>
      <c r="JM25" s="499"/>
      <c r="JN25" s="499"/>
      <c r="JO25" s="499"/>
      <c r="JP25" s="499"/>
      <c r="JQ25" s="499"/>
      <c r="JR25" s="499"/>
      <c r="JS25" s="499"/>
      <c r="JT25" s="499"/>
      <c r="JU25" s="499"/>
      <c r="JV25" s="499"/>
      <c r="JW25" s="499"/>
      <c r="JX25" s="499"/>
      <c r="JY25" s="499"/>
      <c r="JZ25" s="499"/>
      <c r="KA25" s="499"/>
      <c r="KB25" s="499"/>
      <c r="KC25" s="499"/>
      <c r="KD25" s="499"/>
      <c r="KE25" s="499"/>
      <c r="KF25" s="499"/>
      <c r="KG25" s="499"/>
      <c r="KH25" s="499"/>
      <c r="KI25" s="499"/>
      <c r="KJ25" s="499"/>
      <c r="KK25" s="499"/>
      <c r="KL25" s="499"/>
      <c r="KM25" s="499"/>
      <c r="KN25" s="499"/>
      <c r="KO25" s="499"/>
      <c r="KP25" s="499"/>
      <c r="KQ25" s="499"/>
      <c r="KR25" s="499"/>
      <c r="KS25" s="499"/>
      <c r="KT25" s="499"/>
      <c r="KU25" s="499"/>
      <c r="KV25" s="499"/>
      <c r="KW25" s="499"/>
      <c r="KX25" s="499"/>
      <c r="KY25" s="499"/>
      <c r="KZ25" s="499"/>
      <c r="LA25" s="499"/>
      <c r="LB25" s="499"/>
      <c r="LC25" s="499"/>
      <c r="LD25" s="499"/>
      <c r="LE25" s="499"/>
      <c r="LF25" s="499"/>
      <c r="LG25" s="499"/>
      <c r="LH25" s="499"/>
      <c r="LI25" s="499"/>
      <c r="LJ25" s="499"/>
      <c r="LK25" s="499"/>
      <c r="LL25" s="499"/>
      <c r="LM25" s="499"/>
      <c r="LN25" s="499"/>
      <c r="LO25" s="499"/>
      <c r="LP25" s="499"/>
      <c r="LQ25" s="499"/>
      <c r="LR25" s="499"/>
      <c r="LS25" s="499"/>
      <c r="LT25" s="499"/>
      <c r="LU25" s="499"/>
      <c r="LV25" s="499"/>
      <c r="LW25" s="499"/>
      <c r="LX25" s="499"/>
      <c r="LY25" s="499"/>
      <c r="LZ25" s="499"/>
      <c r="MA25" s="499"/>
      <c r="MB25" s="499"/>
      <c r="MC25" s="499"/>
      <c r="MD25" s="499"/>
      <c r="ME25" s="499"/>
      <c r="MF25" s="499"/>
      <c r="MG25" s="499"/>
      <c r="MH25" s="499"/>
      <c r="MI25" s="499"/>
      <c r="MJ25" s="499"/>
      <c r="MK25" s="499"/>
      <c r="ML25" s="499"/>
      <c r="MM25" s="499"/>
      <c r="MN25" s="499"/>
      <c r="MO25" s="499"/>
      <c r="MP25" s="499"/>
      <c r="MQ25" s="499"/>
      <c r="MR25" s="499"/>
      <c r="MS25" s="499"/>
      <c r="MT25" s="499"/>
      <c r="MU25" s="499"/>
      <c r="MV25" s="499"/>
      <c r="MW25" s="499"/>
      <c r="MX25" s="499"/>
      <c r="MY25" s="499"/>
      <c r="MZ25" s="499"/>
      <c r="NA25" s="499"/>
      <c r="NB25" s="499"/>
      <c r="NC25" s="499"/>
      <c r="ND25" s="499"/>
      <c r="NE25" s="499"/>
      <c r="NF25" s="499"/>
      <c r="NG25" s="499"/>
      <c r="NH25" s="499"/>
      <c r="NI25" s="499"/>
      <c r="NJ25" s="499"/>
      <c r="NK25" s="499"/>
      <c r="NL25" s="499"/>
      <c r="NM25" s="499"/>
      <c r="NN25" s="499"/>
      <c r="NO25" s="499"/>
      <c r="NP25" s="499"/>
      <c r="NQ25" s="499"/>
      <c r="NR25" s="499"/>
      <c r="NS25" s="499"/>
      <c r="NT25" s="499"/>
      <c r="NU25" s="499"/>
      <c r="NV25" s="499"/>
      <c r="NW25" s="499"/>
      <c r="NX25" s="499"/>
      <c r="NY25" s="499"/>
      <c r="NZ25" s="499"/>
      <c r="OA25" s="499"/>
      <c r="OB25" s="499"/>
      <c r="OC25" s="499"/>
      <c r="OD25" s="499"/>
      <c r="OE25" s="499"/>
      <c r="OF25" s="499"/>
      <c r="OG25" s="499"/>
      <c r="OH25" s="499"/>
      <c r="OI25" s="499"/>
      <c r="OJ25" s="499"/>
      <c r="OK25" s="499"/>
      <c r="OL25" s="499"/>
      <c r="OM25" s="499"/>
      <c r="ON25" s="499"/>
      <c r="OO25" s="499"/>
      <c r="OP25" s="499"/>
      <c r="OQ25" s="499"/>
      <c r="OR25" s="499"/>
      <c r="OS25" s="499"/>
      <c r="OT25" s="499"/>
      <c r="OU25" s="499"/>
      <c r="OV25" s="499"/>
      <c r="OW25" s="499"/>
      <c r="OX25" s="499"/>
      <c r="OY25" s="499"/>
      <c r="OZ25" s="499"/>
      <c r="PA25" s="499"/>
      <c r="PB25" s="499"/>
      <c r="PC25" s="499"/>
      <c r="PD25" s="499"/>
      <c r="PE25" s="499"/>
      <c r="PF25" s="499"/>
      <c r="PG25" s="499"/>
      <c r="PH25" s="499"/>
      <c r="PI25" s="499"/>
      <c r="PJ25" s="499"/>
      <c r="PK25" s="499"/>
      <c r="PL25" s="499"/>
      <c r="PM25" s="499"/>
      <c r="PN25" s="499"/>
      <c r="PO25" s="499"/>
      <c r="PP25" s="499"/>
      <c r="PQ25" s="499"/>
      <c r="PR25" s="499"/>
      <c r="PS25" s="499"/>
      <c r="PT25" s="499"/>
      <c r="PU25" s="499"/>
      <c r="PV25" s="499"/>
      <c r="PW25" s="499"/>
      <c r="PX25" s="499"/>
      <c r="PY25" s="499"/>
      <c r="PZ25" s="499"/>
      <c r="QA25" s="499"/>
      <c r="QB25" s="499"/>
      <c r="QC25" s="499"/>
      <c r="QD25" s="499"/>
      <c r="QE25" s="499"/>
      <c r="QF25" s="499"/>
      <c r="QG25" s="499"/>
      <c r="QH25" s="499"/>
      <c r="QI25" s="499"/>
      <c r="QJ25" s="499"/>
      <c r="QK25" s="499"/>
      <c r="QL25" s="499"/>
      <c r="QM25" s="499"/>
      <c r="QN25" s="499"/>
      <c r="QO25" s="499"/>
      <c r="QP25" s="499"/>
      <c r="QQ25" s="499"/>
      <c r="QR25" s="499"/>
      <c r="QS25" s="499"/>
      <c r="QT25" s="499"/>
      <c r="QU25" s="499"/>
      <c r="QV25" s="499"/>
      <c r="QW25" s="499"/>
      <c r="QX25" s="499"/>
      <c r="QY25" s="499"/>
      <c r="QZ25" s="499"/>
      <c r="RA25" s="499"/>
      <c r="RB25" s="499"/>
      <c r="RC25" s="499"/>
      <c r="RD25" s="499"/>
      <c r="RE25" s="499"/>
      <c r="RF25" s="499"/>
      <c r="RG25" s="499"/>
      <c r="RH25" s="499"/>
      <c r="RI25" s="499"/>
      <c r="RJ25" s="499"/>
      <c r="RK25" s="499"/>
      <c r="RL25" s="499"/>
      <c r="RM25" s="499"/>
      <c r="RN25" s="499"/>
      <c r="RO25" s="499"/>
      <c r="RP25" s="499"/>
      <c r="RQ25" s="499"/>
      <c r="RR25" s="499"/>
      <c r="RS25" s="499"/>
      <c r="RT25" s="499"/>
      <c r="RU25" s="499"/>
      <c r="RV25" s="499"/>
      <c r="RW25" s="499"/>
      <c r="RX25" s="499"/>
      <c r="RY25" s="499"/>
      <c r="RZ25" s="499"/>
      <c r="SA25" s="499"/>
      <c r="SB25" s="499"/>
      <c r="SC25" s="499"/>
      <c r="SD25" s="499"/>
      <c r="SE25" s="499"/>
      <c r="SF25" s="499"/>
      <c r="SG25" s="499"/>
      <c r="SH25" s="499"/>
      <c r="SI25" s="499"/>
      <c r="SJ25" s="499"/>
      <c r="SK25" s="499"/>
      <c r="SL25" s="499"/>
      <c r="SM25" s="499"/>
      <c r="SN25" s="499"/>
      <c r="SO25" s="499"/>
      <c r="SP25" s="499"/>
      <c r="SQ25" s="499"/>
      <c r="SR25" s="499"/>
      <c r="SS25" s="499"/>
      <c r="ST25" s="499"/>
      <c r="SU25" s="499"/>
      <c r="SV25" s="499"/>
      <c r="SW25" s="499"/>
      <c r="SX25" s="499"/>
      <c r="SY25" s="499"/>
      <c r="SZ25" s="499"/>
      <c r="TA25" s="499"/>
      <c r="TB25" s="499"/>
      <c r="TC25" s="499"/>
      <c r="TD25" s="499"/>
      <c r="TE25" s="499"/>
      <c r="TF25" s="499"/>
      <c r="TG25" s="499"/>
      <c r="TH25" s="499"/>
      <c r="TI25" s="499"/>
      <c r="TJ25" s="499"/>
      <c r="TK25" s="499"/>
      <c r="TL25" s="499"/>
      <c r="TM25" s="499"/>
      <c r="TN25" s="499"/>
      <c r="TO25" s="499"/>
      <c r="TP25" s="499"/>
      <c r="TQ25" s="499"/>
      <c r="TR25" s="499"/>
      <c r="TS25" s="499"/>
      <c r="TT25" s="499"/>
      <c r="TU25" s="499"/>
      <c r="TV25" s="499"/>
      <c r="TW25" s="499"/>
      <c r="TX25" s="499"/>
      <c r="TY25" s="499"/>
      <c r="TZ25" s="499"/>
      <c r="UA25" s="499"/>
      <c r="UB25" s="499"/>
      <c r="UC25" s="499"/>
      <c r="UD25" s="499"/>
      <c r="UE25" s="499"/>
      <c r="UF25" s="499"/>
      <c r="UG25" s="499"/>
      <c r="UH25" s="499"/>
      <c r="UI25" s="499"/>
      <c r="UJ25" s="499"/>
      <c r="UK25" s="499"/>
      <c r="UL25" s="499"/>
      <c r="UM25" s="499"/>
      <c r="UN25" s="499"/>
      <c r="UO25" s="499"/>
      <c r="UP25" s="499"/>
      <c r="UQ25" s="499"/>
      <c r="UR25" s="499"/>
      <c r="US25" s="499"/>
      <c r="UT25" s="499"/>
      <c r="UU25" s="499"/>
      <c r="UV25" s="499"/>
      <c r="UW25" s="499"/>
      <c r="UX25" s="499"/>
      <c r="UY25" s="499"/>
      <c r="UZ25" s="499"/>
      <c r="VA25" s="499"/>
      <c r="VB25" s="499"/>
      <c r="VC25" s="499"/>
      <c r="VD25" s="499"/>
      <c r="VE25" s="499"/>
      <c r="VF25" s="499"/>
      <c r="VG25" s="499"/>
      <c r="VH25" s="499"/>
      <c r="VI25" s="499"/>
      <c r="VJ25" s="499"/>
      <c r="VK25" s="499"/>
      <c r="VL25" s="499"/>
      <c r="VM25" s="499"/>
      <c r="VN25" s="499"/>
      <c r="VO25" s="499"/>
      <c r="VP25" s="499"/>
      <c r="VQ25" s="499"/>
      <c r="VR25" s="499"/>
      <c r="VS25" s="499"/>
      <c r="VT25" s="499"/>
      <c r="VU25" s="499"/>
      <c r="VV25" s="499"/>
      <c r="VW25" s="499"/>
      <c r="VX25" s="499"/>
      <c r="VY25" s="499"/>
      <c r="VZ25" s="499"/>
      <c r="WA25" s="499"/>
      <c r="WB25" s="499"/>
      <c r="WC25" s="499"/>
      <c r="WD25" s="499"/>
      <c r="WE25" s="499"/>
      <c r="WF25" s="499"/>
    </row>
    <row r="26" spans="1:604" ht="27.95" customHeight="1" x14ac:dyDescent="0.2">
      <c r="A26" s="486"/>
      <c r="B26" s="486"/>
      <c r="C26" s="689" t="s">
        <v>668</v>
      </c>
      <c r="D26" s="689"/>
      <c r="E26" s="689"/>
      <c r="F26" s="689"/>
      <c r="G26" s="689"/>
      <c r="H26" s="689"/>
      <c r="I26" s="689"/>
      <c r="J26" s="689"/>
      <c r="K26" s="488">
        <f>SUM(K22:K25)</f>
        <v>148383.44</v>
      </c>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44"/>
      <c r="AK26" s="444"/>
      <c r="AL26" s="444"/>
      <c r="AM26" s="444"/>
      <c r="AN26" s="444"/>
      <c r="AO26" s="444"/>
      <c r="AP26" s="444"/>
      <c r="AQ26" s="444"/>
      <c r="AR26" s="444"/>
      <c r="AS26" s="444"/>
      <c r="AT26" s="444"/>
      <c r="AU26" s="444"/>
      <c r="AV26" s="444"/>
      <c r="AW26" s="444"/>
      <c r="AX26" s="444"/>
      <c r="AY26" s="444"/>
      <c r="AZ26" s="444"/>
      <c r="BA26" s="444"/>
      <c r="BB26" s="444"/>
      <c r="BC26" s="444"/>
      <c r="BD26" s="444"/>
      <c r="BE26" s="444"/>
      <c r="BF26" s="444"/>
      <c r="BG26" s="444"/>
      <c r="BH26" s="444"/>
      <c r="BI26" s="444"/>
      <c r="BJ26" s="444"/>
      <c r="BK26" s="444"/>
      <c r="BL26" s="444"/>
      <c r="BM26" s="444"/>
      <c r="BN26" s="444"/>
      <c r="BO26" s="444"/>
      <c r="BP26" s="444"/>
      <c r="BQ26" s="444"/>
      <c r="BR26" s="444"/>
      <c r="BS26" s="444"/>
      <c r="BT26" s="444"/>
      <c r="BU26" s="444"/>
      <c r="BV26" s="444"/>
      <c r="BW26" s="444"/>
      <c r="BX26" s="444"/>
      <c r="BY26" s="444"/>
      <c r="BZ26" s="444"/>
      <c r="CA26" s="444"/>
      <c r="CB26" s="444"/>
      <c r="CC26" s="444"/>
      <c r="CD26" s="444"/>
      <c r="CE26" s="444"/>
      <c r="CF26" s="444"/>
      <c r="CG26" s="444"/>
      <c r="CH26" s="444"/>
      <c r="CI26" s="444"/>
      <c r="CJ26" s="444"/>
      <c r="CK26" s="444"/>
      <c r="CL26" s="444"/>
      <c r="CM26" s="444"/>
      <c r="CN26" s="444"/>
      <c r="CO26" s="444"/>
      <c r="CP26" s="444"/>
      <c r="CQ26" s="444"/>
      <c r="CR26" s="444"/>
      <c r="CS26" s="444"/>
      <c r="CT26" s="444"/>
      <c r="CU26" s="444"/>
      <c r="CV26" s="444"/>
      <c r="CW26" s="444"/>
      <c r="CX26" s="444"/>
      <c r="CY26" s="444"/>
      <c r="CZ26" s="444"/>
      <c r="DA26" s="444"/>
      <c r="DB26" s="444"/>
      <c r="DC26" s="444"/>
      <c r="DD26" s="444"/>
      <c r="DE26" s="444"/>
      <c r="DF26" s="444"/>
      <c r="DG26" s="444"/>
      <c r="DH26" s="444"/>
      <c r="DI26" s="444"/>
      <c r="DJ26" s="444"/>
      <c r="DK26" s="444"/>
      <c r="DL26" s="444"/>
      <c r="DM26" s="444"/>
      <c r="DN26" s="444"/>
      <c r="DO26" s="444"/>
      <c r="DP26" s="444"/>
      <c r="DQ26" s="444"/>
      <c r="DR26" s="444"/>
      <c r="DS26" s="444"/>
      <c r="DT26" s="444"/>
      <c r="DU26" s="444"/>
      <c r="DV26" s="444"/>
      <c r="DW26" s="444"/>
      <c r="DX26" s="444"/>
      <c r="DY26" s="444"/>
      <c r="DZ26" s="444"/>
      <c r="EA26" s="444"/>
      <c r="EB26" s="444"/>
      <c r="EC26" s="444"/>
      <c r="ED26" s="444"/>
      <c r="EE26" s="444"/>
      <c r="EF26" s="444"/>
      <c r="EG26" s="444"/>
      <c r="EH26" s="444"/>
      <c r="EI26" s="444"/>
      <c r="EJ26" s="444"/>
      <c r="EK26" s="444"/>
      <c r="EL26" s="444"/>
      <c r="EM26" s="444"/>
      <c r="EN26" s="444"/>
      <c r="EO26" s="444"/>
      <c r="EP26" s="444"/>
      <c r="EQ26" s="444"/>
      <c r="ER26" s="444"/>
      <c r="ES26" s="444"/>
      <c r="ET26" s="444"/>
      <c r="EU26" s="444"/>
      <c r="EV26" s="444"/>
      <c r="EW26" s="444"/>
      <c r="EX26" s="444"/>
      <c r="EY26" s="444"/>
      <c r="EZ26" s="444"/>
      <c r="FA26" s="444"/>
      <c r="FB26" s="444"/>
      <c r="FC26" s="444"/>
      <c r="FD26" s="444"/>
      <c r="FE26" s="444"/>
      <c r="FF26" s="444"/>
      <c r="FG26" s="444"/>
      <c r="FH26" s="444"/>
      <c r="FI26" s="444"/>
      <c r="FJ26" s="444"/>
      <c r="FK26" s="444"/>
      <c r="FL26" s="444"/>
      <c r="FM26" s="444"/>
      <c r="FN26" s="444"/>
      <c r="FO26" s="444"/>
      <c r="FP26" s="444"/>
      <c r="FQ26" s="444"/>
      <c r="FR26" s="444"/>
      <c r="FS26" s="444"/>
      <c r="FT26" s="444"/>
      <c r="FU26" s="444"/>
      <c r="FV26" s="444"/>
      <c r="FW26" s="444"/>
      <c r="FX26" s="444"/>
      <c r="FY26" s="444"/>
      <c r="FZ26" s="444"/>
      <c r="GA26" s="444"/>
      <c r="GB26" s="444"/>
      <c r="GC26" s="444"/>
      <c r="GD26" s="444"/>
      <c r="GE26" s="444"/>
      <c r="GF26" s="444"/>
      <c r="GG26" s="444"/>
      <c r="GH26" s="444"/>
      <c r="GI26" s="444"/>
      <c r="GJ26" s="444"/>
      <c r="GK26" s="444"/>
      <c r="GL26" s="444"/>
      <c r="GM26" s="444"/>
      <c r="GN26" s="444"/>
      <c r="GO26" s="444"/>
      <c r="GP26" s="444"/>
      <c r="GQ26" s="444"/>
      <c r="GR26" s="444"/>
      <c r="GS26" s="444"/>
      <c r="GT26" s="444"/>
      <c r="GU26" s="444"/>
      <c r="GV26" s="444"/>
      <c r="GW26" s="444"/>
      <c r="GX26" s="444"/>
      <c r="GY26" s="444"/>
      <c r="GZ26" s="444"/>
      <c r="HA26" s="444"/>
      <c r="HB26" s="444"/>
      <c r="HC26" s="444"/>
      <c r="HD26" s="444"/>
      <c r="HE26" s="444"/>
      <c r="HF26" s="444"/>
      <c r="HG26" s="444"/>
      <c r="HH26" s="444"/>
      <c r="HI26" s="444"/>
      <c r="HJ26" s="444"/>
      <c r="HK26" s="444"/>
      <c r="HL26" s="444"/>
      <c r="HM26" s="444"/>
      <c r="HN26" s="444"/>
      <c r="HO26" s="444"/>
      <c r="HP26" s="444"/>
      <c r="HQ26" s="444"/>
      <c r="HR26" s="444"/>
      <c r="HS26" s="444"/>
      <c r="HT26" s="444"/>
      <c r="HU26" s="444"/>
      <c r="HV26" s="444"/>
      <c r="HW26" s="444"/>
      <c r="HX26" s="444"/>
      <c r="HY26" s="444"/>
      <c r="HZ26" s="444"/>
      <c r="IA26" s="444"/>
      <c r="IB26" s="444"/>
      <c r="IC26" s="444"/>
      <c r="ID26" s="444"/>
      <c r="IE26" s="444"/>
      <c r="IF26" s="444"/>
      <c r="IG26" s="444"/>
      <c r="IH26" s="444"/>
      <c r="II26" s="444"/>
      <c r="IJ26" s="444"/>
      <c r="IK26" s="444"/>
      <c r="IL26" s="444"/>
      <c r="IM26" s="444"/>
      <c r="IN26" s="444"/>
      <c r="IO26" s="444"/>
      <c r="IP26" s="444"/>
      <c r="IQ26" s="444"/>
      <c r="IR26" s="444"/>
      <c r="IS26" s="444"/>
      <c r="IT26" s="444"/>
      <c r="IU26" s="444"/>
      <c r="IV26" s="444"/>
      <c r="IW26" s="444"/>
      <c r="IX26" s="444"/>
      <c r="IY26" s="444"/>
      <c r="IZ26" s="444"/>
      <c r="JA26" s="444"/>
      <c r="JB26" s="444"/>
      <c r="JC26" s="444"/>
      <c r="JD26" s="444"/>
      <c r="JE26" s="444"/>
      <c r="JF26" s="444"/>
      <c r="JG26" s="444"/>
      <c r="JH26" s="444"/>
      <c r="JI26" s="444"/>
      <c r="JJ26" s="444"/>
      <c r="JK26" s="444"/>
      <c r="JL26" s="444"/>
      <c r="JM26" s="444"/>
      <c r="JN26" s="444"/>
      <c r="JO26" s="444"/>
      <c r="JP26" s="444"/>
      <c r="JQ26" s="444"/>
      <c r="JR26" s="444"/>
      <c r="JS26" s="444"/>
      <c r="JT26" s="444"/>
      <c r="JU26" s="444"/>
      <c r="JV26" s="444"/>
      <c r="JW26" s="444"/>
      <c r="JX26" s="444"/>
      <c r="JY26" s="444"/>
      <c r="JZ26" s="444"/>
      <c r="KA26" s="444"/>
      <c r="KB26" s="444"/>
      <c r="KC26" s="444"/>
      <c r="KD26" s="444"/>
      <c r="KE26" s="444"/>
      <c r="KF26" s="444"/>
      <c r="KG26" s="444"/>
      <c r="KH26" s="444"/>
      <c r="KI26" s="444"/>
      <c r="KJ26" s="444"/>
      <c r="KK26" s="444"/>
      <c r="KL26" s="444"/>
      <c r="KM26" s="444"/>
      <c r="KN26" s="444"/>
      <c r="KO26" s="444"/>
      <c r="KP26" s="444"/>
      <c r="KQ26" s="444"/>
      <c r="KR26" s="444"/>
      <c r="KS26" s="444"/>
      <c r="KT26" s="444"/>
      <c r="KU26" s="444"/>
      <c r="KV26" s="444"/>
      <c r="KW26" s="444"/>
      <c r="KX26" s="444"/>
      <c r="KY26" s="444"/>
      <c r="KZ26" s="444"/>
      <c r="LA26" s="444"/>
      <c r="LB26" s="444"/>
      <c r="LC26" s="444"/>
      <c r="LD26" s="444"/>
      <c r="LE26" s="444"/>
      <c r="LF26" s="444"/>
      <c r="LG26" s="444"/>
      <c r="LH26" s="444"/>
      <c r="LI26" s="444"/>
      <c r="LJ26" s="444"/>
      <c r="LK26" s="444"/>
      <c r="LL26" s="444"/>
      <c r="LM26" s="444"/>
      <c r="LN26" s="444"/>
      <c r="LO26" s="444"/>
      <c r="LP26" s="444"/>
      <c r="LQ26" s="444"/>
      <c r="LR26" s="444"/>
      <c r="LS26" s="444"/>
      <c r="LT26" s="444"/>
      <c r="LU26" s="444"/>
      <c r="LV26" s="444"/>
      <c r="LW26" s="444"/>
      <c r="LX26" s="444"/>
      <c r="LY26" s="444"/>
      <c r="LZ26" s="444"/>
      <c r="MA26" s="444"/>
      <c r="MB26" s="444"/>
      <c r="MC26" s="444"/>
      <c r="MD26" s="444"/>
      <c r="ME26" s="444"/>
      <c r="MF26" s="444"/>
      <c r="MG26" s="444"/>
      <c r="MH26" s="444"/>
      <c r="MI26" s="444"/>
      <c r="MJ26" s="444"/>
      <c r="MK26" s="444"/>
      <c r="ML26" s="444"/>
      <c r="MM26" s="444"/>
      <c r="MN26" s="444"/>
      <c r="MO26" s="444"/>
      <c r="MP26" s="444"/>
      <c r="MQ26" s="444"/>
      <c r="MR26" s="444"/>
      <c r="MS26" s="444"/>
      <c r="MT26" s="444"/>
      <c r="MU26" s="444"/>
      <c r="MV26" s="444"/>
      <c r="MW26" s="444"/>
      <c r="MX26" s="444"/>
      <c r="MY26" s="444"/>
      <c r="MZ26" s="444"/>
      <c r="NA26" s="444"/>
      <c r="NB26" s="444"/>
      <c r="NC26" s="444"/>
      <c r="ND26" s="444"/>
      <c r="NE26" s="444"/>
      <c r="NF26" s="444"/>
      <c r="NG26" s="444"/>
      <c r="NH26" s="444"/>
      <c r="NI26" s="444"/>
      <c r="NJ26" s="444"/>
      <c r="NK26" s="444"/>
      <c r="NL26" s="444"/>
      <c r="NM26" s="444"/>
      <c r="NN26" s="444"/>
      <c r="NO26" s="444"/>
      <c r="NP26" s="444"/>
      <c r="NQ26" s="444"/>
      <c r="NR26" s="444"/>
      <c r="NS26" s="444"/>
      <c r="NT26" s="444"/>
      <c r="NU26" s="444"/>
      <c r="NV26" s="444"/>
      <c r="NW26" s="444"/>
      <c r="NX26" s="444"/>
      <c r="NY26" s="444"/>
      <c r="NZ26" s="444"/>
      <c r="OA26" s="444"/>
      <c r="OB26" s="444"/>
      <c r="OC26" s="444"/>
      <c r="OD26" s="444"/>
      <c r="OE26" s="444"/>
      <c r="OF26" s="444"/>
      <c r="OG26" s="444"/>
      <c r="OH26" s="444"/>
      <c r="OI26" s="444"/>
      <c r="OJ26" s="444"/>
      <c r="OK26" s="444"/>
      <c r="OL26" s="444"/>
      <c r="OM26" s="444"/>
      <c r="ON26" s="444"/>
      <c r="OO26" s="444"/>
      <c r="OP26" s="444"/>
      <c r="OQ26" s="444"/>
      <c r="OR26" s="444"/>
      <c r="OS26" s="444"/>
      <c r="OT26" s="444"/>
      <c r="OU26" s="444"/>
      <c r="OV26" s="444"/>
      <c r="OW26" s="444"/>
      <c r="OX26" s="444"/>
      <c r="OY26" s="444"/>
      <c r="OZ26" s="444"/>
      <c r="PA26" s="444"/>
      <c r="PB26" s="444"/>
      <c r="PC26" s="444"/>
      <c r="PD26" s="444"/>
      <c r="PE26" s="444"/>
      <c r="PF26" s="444"/>
      <c r="PG26" s="444"/>
      <c r="PH26" s="444"/>
      <c r="PI26" s="444"/>
      <c r="PJ26" s="444"/>
      <c r="PK26" s="444"/>
      <c r="PL26" s="444"/>
      <c r="PM26" s="444"/>
      <c r="PN26" s="444"/>
      <c r="PO26" s="444"/>
      <c r="PP26" s="444"/>
      <c r="PQ26" s="444"/>
      <c r="PR26" s="444"/>
      <c r="PS26" s="444"/>
      <c r="PT26" s="444"/>
      <c r="PU26" s="444"/>
      <c r="PV26" s="444"/>
      <c r="PW26" s="444"/>
      <c r="PX26" s="444"/>
      <c r="PY26" s="444"/>
      <c r="PZ26" s="444"/>
      <c r="QA26" s="444"/>
      <c r="QB26" s="444"/>
      <c r="QC26" s="444"/>
      <c r="QD26" s="444"/>
      <c r="QE26" s="444"/>
      <c r="QF26" s="444"/>
      <c r="QG26" s="444"/>
      <c r="QH26" s="444"/>
      <c r="QI26" s="444"/>
      <c r="QJ26" s="444"/>
      <c r="QK26" s="444"/>
      <c r="QL26" s="444"/>
      <c r="QM26" s="444"/>
      <c r="QN26" s="444"/>
      <c r="QO26" s="444"/>
      <c r="QP26" s="444"/>
      <c r="QQ26" s="444"/>
      <c r="QR26" s="444"/>
      <c r="QS26" s="444"/>
      <c r="QT26" s="444"/>
      <c r="QU26" s="444"/>
      <c r="QV26" s="444"/>
      <c r="QW26" s="444"/>
      <c r="QX26" s="444"/>
      <c r="QY26" s="444"/>
      <c r="QZ26" s="444"/>
      <c r="RA26" s="444"/>
      <c r="RB26" s="444"/>
      <c r="RC26" s="444"/>
      <c r="RD26" s="444"/>
      <c r="RE26" s="444"/>
      <c r="RF26" s="444"/>
      <c r="RG26" s="444"/>
      <c r="RH26" s="444"/>
      <c r="RI26" s="444"/>
      <c r="RJ26" s="444"/>
      <c r="RK26" s="444"/>
      <c r="RL26" s="444"/>
      <c r="RM26" s="444"/>
      <c r="RN26" s="444"/>
      <c r="RO26" s="444"/>
      <c r="RP26" s="444"/>
      <c r="RQ26" s="444"/>
      <c r="RR26" s="444"/>
      <c r="RS26" s="444"/>
      <c r="RT26" s="444"/>
      <c r="RU26" s="444"/>
      <c r="RV26" s="444"/>
      <c r="RW26" s="444"/>
      <c r="RX26" s="444"/>
      <c r="RY26" s="444"/>
      <c r="RZ26" s="444"/>
      <c r="SA26" s="444"/>
      <c r="SB26" s="444"/>
      <c r="SC26" s="444"/>
      <c r="SD26" s="444"/>
      <c r="SE26" s="444"/>
      <c r="SF26" s="444"/>
      <c r="SG26" s="444"/>
      <c r="SH26" s="444"/>
      <c r="SI26" s="444"/>
      <c r="SJ26" s="444"/>
      <c r="SK26" s="444"/>
      <c r="SL26" s="444"/>
      <c r="SM26" s="444"/>
      <c r="SN26" s="444"/>
      <c r="SO26" s="444"/>
      <c r="SP26" s="444"/>
      <c r="SQ26" s="444"/>
      <c r="SR26" s="444"/>
      <c r="SS26" s="444"/>
      <c r="ST26" s="444"/>
      <c r="SU26" s="444"/>
      <c r="SV26" s="444"/>
      <c r="SW26" s="444"/>
      <c r="SX26" s="444"/>
      <c r="SY26" s="444"/>
      <c r="SZ26" s="444"/>
      <c r="TA26" s="444"/>
      <c r="TB26" s="444"/>
      <c r="TC26" s="444"/>
      <c r="TD26" s="444"/>
      <c r="TE26" s="444"/>
      <c r="TF26" s="444"/>
      <c r="TG26" s="444"/>
      <c r="TH26" s="444"/>
      <c r="TI26" s="444"/>
      <c r="TJ26" s="444"/>
      <c r="TK26" s="444"/>
      <c r="TL26" s="444"/>
      <c r="TM26" s="444"/>
      <c r="TN26" s="444"/>
      <c r="TO26" s="444"/>
      <c r="TP26" s="444"/>
      <c r="TQ26" s="444"/>
      <c r="TR26" s="444"/>
      <c r="TS26" s="444"/>
      <c r="TT26" s="444"/>
      <c r="TU26" s="444"/>
      <c r="TV26" s="444"/>
      <c r="TW26" s="444"/>
      <c r="TX26" s="444"/>
      <c r="TY26" s="444"/>
      <c r="TZ26" s="444"/>
      <c r="UA26" s="444"/>
      <c r="UB26" s="444"/>
      <c r="UC26" s="444"/>
      <c r="UD26" s="444"/>
      <c r="UE26" s="444"/>
      <c r="UF26" s="444"/>
      <c r="UG26" s="444"/>
      <c r="UH26" s="444"/>
      <c r="UI26" s="444"/>
      <c r="UJ26" s="444"/>
      <c r="UK26" s="444"/>
      <c r="UL26" s="444"/>
      <c r="UM26" s="444"/>
      <c r="UN26" s="444"/>
      <c r="UO26" s="444"/>
      <c r="UP26" s="444"/>
      <c r="UQ26" s="444"/>
      <c r="UR26" s="444"/>
      <c r="US26" s="444"/>
      <c r="UT26" s="444"/>
      <c r="UU26" s="444"/>
      <c r="UV26" s="444"/>
      <c r="UW26" s="444"/>
      <c r="UX26" s="444"/>
      <c r="UY26" s="444"/>
      <c r="UZ26" s="444"/>
      <c r="VA26" s="444"/>
      <c r="VB26" s="444"/>
      <c r="VC26" s="444"/>
      <c r="VD26" s="444"/>
      <c r="VE26" s="444"/>
      <c r="VF26" s="444"/>
      <c r="VG26" s="444"/>
      <c r="VH26" s="444"/>
      <c r="VI26" s="444"/>
      <c r="VJ26" s="444"/>
      <c r="VK26" s="444"/>
      <c r="VL26" s="444"/>
      <c r="VM26" s="444"/>
      <c r="VN26" s="444"/>
      <c r="VO26" s="444"/>
      <c r="VP26" s="444"/>
      <c r="VQ26" s="444"/>
      <c r="VR26" s="444"/>
      <c r="VS26" s="444"/>
      <c r="VT26" s="444"/>
      <c r="VU26" s="444"/>
      <c r="VV26" s="444"/>
      <c r="VW26" s="444"/>
      <c r="VX26" s="444"/>
      <c r="VY26" s="444"/>
      <c r="VZ26" s="444"/>
      <c r="WA26" s="444"/>
      <c r="WB26" s="444"/>
      <c r="WC26" s="444"/>
      <c r="WD26" s="444"/>
      <c r="WE26" s="444"/>
      <c r="WF26" s="444"/>
    </row>
    <row r="27" spans="1:604" s="498" customFormat="1" ht="27.95" customHeight="1" x14ac:dyDescent="0.2">
      <c r="A27" s="486"/>
      <c r="B27" s="486"/>
      <c r="C27" s="489">
        <v>2</v>
      </c>
      <c r="D27" s="489"/>
      <c r="E27" s="489"/>
      <c r="F27" s="489" t="s">
        <v>5</v>
      </c>
      <c r="G27" s="690"/>
      <c r="H27" s="690"/>
      <c r="I27" s="690"/>
      <c r="J27" s="690"/>
      <c r="K27" s="690"/>
      <c r="L27" s="478"/>
      <c r="M27" s="478"/>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499"/>
      <c r="AM27" s="499"/>
      <c r="AN27" s="499"/>
      <c r="AO27" s="499"/>
      <c r="AP27" s="499"/>
      <c r="AQ27" s="499"/>
      <c r="AR27" s="499"/>
      <c r="AS27" s="499"/>
      <c r="AT27" s="499"/>
      <c r="AU27" s="499"/>
      <c r="AV27" s="499"/>
      <c r="AW27" s="499"/>
      <c r="AX27" s="499"/>
      <c r="AY27" s="499"/>
      <c r="AZ27" s="499"/>
      <c r="BA27" s="499"/>
      <c r="BB27" s="499"/>
      <c r="BC27" s="499"/>
      <c r="BD27" s="499"/>
      <c r="BE27" s="499"/>
      <c r="BF27" s="499"/>
      <c r="BG27" s="499"/>
      <c r="BH27" s="499"/>
      <c r="BI27" s="499"/>
      <c r="BJ27" s="499"/>
      <c r="BK27" s="499"/>
      <c r="BL27" s="499"/>
      <c r="BM27" s="499"/>
      <c r="BN27" s="499"/>
      <c r="BO27" s="499"/>
      <c r="BP27" s="499"/>
      <c r="BQ27" s="499"/>
      <c r="BR27" s="499"/>
      <c r="BS27" s="499"/>
      <c r="BT27" s="499"/>
      <c r="BU27" s="499"/>
      <c r="BV27" s="499"/>
      <c r="BW27" s="499"/>
      <c r="BX27" s="499"/>
      <c r="BY27" s="499"/>
      <c r="BZ27" s="499"/>
      <c r="CA27" s="499"/>
      <c r="CB27" s="499"/>
      <c r="CC27" s="499"/>
      <c r="CD27" s="499"/>
      <c r="CE27" s="499"/>
      <c r="CF27" s="499"/>
      <c r="CG27" s="499"/>
      <c r="CH27" s="499"/>
      <c r="CI27" s="499"/>
      <c r="CJ27" s="499"/>
      <c r="CK27" s="499"/>
      <c r="CL27" s="499"/>
      <c r="CM27" s="499"/>
      <c r="CN27" s="499"/>
      <c r="CO27" s="499"/>
      <c r="CP27" s="499"/>
      <c r="CQ27" s="499"/>
      <c r="CR27" s="499"/>
      <c r="CS27" s="499"/>
      <c r="CT27" s="499"/>
      <c r="CU27" s="499"/>
      <c r="CV27" s="499"/>
      <c r="CW27" s="499"/>
      <c r="CX27" s="499"/>
      <c r="CY27" s="499"/>
      <c r="CZ27" s="499"/>
      <c r="DA27" s="499"/>
      <c r="DB27" s="499"/>
      <c r="DC27" s="499"/>
      <c r="DD27" s="499"/>
      <c r="DE27" s="499"/>
      <c r="DF27" s="499"/>
      <c r="DG27" s="499"/>
      <c r="DH27" s="499"/>
      <c r="DI27" s="499"/>
      <c r="DJ27" s="499"/>
      <c r="DK27" s="499"/>
      <c r="DL27" s="499"/>
      <c r="DM27" s="499"/>
      <c r="DN27" s="499"/>
      <c r="DO27" s="499"/>
      <c r="DP27" s="499"/>
      <c r="DQ27" s="499"/>
      <c r="DR27" s="499"/>
      <c r="DS27" s="499"/>
      <c r="DT27" s="499"/>
      <c r="DU27" s="499"/>
      <c r="DV27" s="499"/>
      <c r="DW27" s="499"/>
      <c r="DX27" s="499"/>
      <c r="DY27" s="499"/>
      <c r="DZ27" s="499"/>
      <c r="EA27" s="499"/>
      <c r="EB27" s="499"/>
      <c r="EC27" s="499"/>
      <c r="ED27" s="499"/>
      <c r="EE27" s="499"/>
      <c r="EF27" s="499"/>
      <c r="EG27" s="499"/>
      <c r="EH27" s="499"/>
      <c r="EI27" s="499"/>
      <c r="EJ27" s="499"/>
      <c r="EK27" s="499"/>
      <c r="EL27" s="499"/>
      <c r="EM27" s="499"/>
      <c r="EN27" s="499"/>
      <c r="EO27" s="499"/>
      <c r="EP27" s="499"/>
      <c r="EQ27" s="499"/>
      <c r="ER27" s="499"/>
      <c r="ES27" s="499"/>
      <c r="ET27" s="499"/>
      <c r="EU27" s="499"/>
      <c r="EV27" s="499"/>
      <c r="EW27" s="499"/>
      <c r="EX27" s="499"/>
      <c r="EY27" s="499"/>
      <c r="EZ27" s="499"/>
      <c r="FA27" s="499"/>
      <c r="FB27" s="499"/>
      <c r="FC27" s="499"/>
      <c r="FD27" s="499"/>
      <c r="FE27" s="499"/>
      <c r="FF27" s="499"/>
      <c r="FG27" s="499"/>
      <c r="FH27" s="499"/>
      <c r="FI27" s="499"/>
      <c r="FJ27" s="499"/>
      <c r="FK27" s="499"/>
      <c r="FL27" s="499"/>
      <c r="FM27" s="499"/>
      <c r="FN27" s="499"/>
      <c r="FO27" s="499"/>
      <c r="FP27" s="499"/>
      <c r="FQ27" s="499"/>
      <c r="FR27" s="499"/>
      <c r="FS27" s="499"/>
      <c r="FT27" s="499"/>
      <c r="FU27" s="499"/>
      <c r="FV27" s="499"/>
      <c r="FW27" s="499"/>
      <c r="FX27" s="499"/>
      <c r="FY27" s="499"/>
      <c r="FZ27" s="499"/>
      <c r="GA27" s="499"/>
      <c r="GB27" s="499"/>
      <c r="GC27" s="499"/>
      <c r="GD27" s="499"/>
      <c r="GE27" s="499"/>
      <c r="GF27" s="499"/>
      <c r="GG27" s="499"/>
      <c r="GH27" s="499"/>
      <c r="GI27" s="499"/>
      <c r="GJ27" s="499"/>
      <c r="GK27" s="499"/>
      <c r="GL27" s="499"/>
      <c r="GM27" s="499"/>
      <c r="GN27" s="499"/>
      <c r="GO27" s="499"/>
      <c r="GP27" s="499"/>
      <c r="GQ27" s="499"/>
      <c r="GR27" s="499"/>
      <c r="GS27" s="499"/>
      <c r="GT27" s="499"/>
      <c r="GU27" s="499"/>
      <c r="GV27" s="499"/>
      <c r="GW27" s="499"/>
      <c r="GX27" s="499"/>
      <c r="GY27" s="499"/>
      <c r="GZ27" s="499"/>
      <c r="HA27" s="499"/>
      <c r="HB27" s="499"/>
      <c r="HC27" s="499"/>
      <c r="HD27" s="499"/>
      <c r="HE27" s="499"/>
      <c r="HF27" s="499"/>
      <c r="HG27" s="499"/>
      <c r="HH27" s="499"/>
      <c r="HI27" s="499"/>
      <c r="HJ27" s="499"/>
      <c r="HK27" s="499"/>
      <c r="HL27" s="499"/>
      <c r="HM27" s="499"/>
      <c r="HN27" s="499"/>
      <c r="HO27" s="499"/>
      <c r="HP27" s="499"/>
      <c r="HQ27" s="499"/>
      <c r="HR27" s="499"/>
      <c r="HS27" s="499"/>
      <c r="HT27" s="499"/>
      <c r="HU27" s="499"/>
      <c r="HV27" s="499"/>
      <c r="HW27" s="499"/>
      <c r="HX27" s="499"/>
      <c r="HY27" s="499"/>
      <c r="HZ27" s="499"/>
      <c r="IA27" s="499"/>
      <c r="IB27" s="499"/>
      <c r="IC27" s="499"/>
      <c r="ID27" s="499"/>
      <c r="IE27" s="499"/>
      <c r="IF27" s="499"/>
      <c r="IG27" s="499"/>
      <c r="IH27" s="499"/>
      <c r="II27" s="499"/>
      <c r="IJ27" s="499"/>
      <c r="IK27" s="499"/>
      <c r="IL27" s="499"/>
      <c r="IM27" s="499"/>
      <c r="IN27" s="499"/>
      <c r="IO27" s="499"/>
      <c r="IP27" s="499"/>
      <c r="IQ27" s="499"/>
      <c r="IR27" s="499"/>
      <c r="IS27" s="499"/>
      <c r="IT27" s="499"/>
      <c r="IU27" s="499"/>
      <c r="IV27" s="499"/>
      <c r="IW27" s="499"/>
      <c r="IX27" s="499"/>
      <c r="IY27" s="499"/>
      <c r="IZ27" s="499"/>
      <c r="JA27" s="499"/>
      <c r="JB27" s="499"/>
      <c r="JC27" s="499"/>
      <c r="JD27" s="499"/>
      <c r="JE27" s="499"/>
      <c r="JF27" s="499"/>
      <c r="JG27" s="499"/>
      <c r="JH27" s="499"/>
      <c r="JI27" s="499"/>
      <c r="JJ27" s="499"/>
      <c r="JK27" s="499"/>
      <c r="JL27" s="499"/>
      <c r="JM27" s="499"/>
      <c r="JN27" s="499"/>
      <c r="JO27" s="499"/>
      <c r="JP27" s="499"/>
      <c r="JQ27" s="499"/>
      <c r="JR27" s="499"/>
      <c r="JS27" s="499"/>
      <c r="JT27" s="499"/>
      <c r="JU27" s="499"/>
      <c r="JV27" s="499"/>
      <c r="JW27" s="499"/>
      <c r="JX27" s="499"/>
      <c r="JY27" s="499"/>
      <c r="JZ27" s="499"/>
      <c r="KA27" s="499"/>
      <c r="KB27" s="499"/>
      <c r="KC27" s="499"/>
      <c r="KD27" s="499"/>
      <c r="KE27" s="499"/>
      <c r="KF27" s="499"/>
      <c r="KG27" s="499"/>
      <c r="KH27" s="499"/>
      <c r="KI27" s="499"/>
      <c r="KJ27" s="499"/>
      <c r="KK27" s="499"/>
      <c r="KL27" s="499"/>
      <c r="KM27" s="499"/>
      <c r="KN27" s="499"/>
      <c r="KO27" s="499"/>
      <c r="KP27" s="499"/>
      <c r="KQ27" s="499"/>
      <c r="KR27" s="499"/>
      <c r="KS27" s="499"/>
      <c r="KT27" s="499"/>
      <c r="KU27" s="499"/>
      <c r="KV27" s="499"/>
      <c r="KW27" s="499"/>
      <c r="KX27" s="499"/>
      <c r="KY27" s="499"/>
      <c r="KZ27" s="499"/>
      <c r="LA27" s="499"/>
      <c r="LB27" s="499"/>
      <c r="LC27" s="499"/>
      <c r="LD27" s="499"/>
      <c r="LE27" s="499"/>
      <c r="LF27" s="499"/>
      <c r="LG27" s="499"/>
      <c r="LH27" s="499"/>
      <c r="LI27" s="499"/>
      <c r="LJ27" s="499"/>
      <c r="LK27" s="499"/>
      <c r="LL27" s="499"/>
      <c r="LM27" s="499"/>
      <c r="LN27" s="499"/>
      <c r="LO27" s="499"/>
      <c r="LP27" s="499"/>
      <c r="LQ27" s="499"/>
      <c r="LR27" s="499"/>
      <c r="LS27" s="499"/>
      <c r="LT27" s="499"/>
      <c r="LU27" s="499"/>
      <c r="LV27" s="499"/>
      <c r="LW27" s="499"/>
      <c r="LX27" s="499"/>
      <c r="LY27" s="499"/>
      <c r="LZ27" s="499"/>
      <c r="MA27" s="499"/>
      <c r="MB27" s="499"/>
      <c r="MC27" s="499"/>
      <c r="MD27" s="499"/>
      <c r="ME27" s="499"/>
      <c r="MF27" s="499"/>
      <c r="MG27" s="499"/>
      <c r="MH27" s="499"/>
      <c r="MI27" s="499"/>
      <c r="MJ27" s="499"/>
      <c r="MK27" s="499"/>
      <c r="ML27" s="499"/>
      <c r="MM27" s="499"/>
      <c r="MN27" s="499"/>
      <c r="MO27" s="499"/>
      <c r="MP27" s="499"/>
      <c r="MQ27" s="499"/>
      <c r="MR27" s="499"/>
      <c r="MS27" s="499"/>
      <c r="MT27" s="499"/>
      <c r="MU27" s="499"/>
      <c r="MV27" s="499"/>
      <c r="MW27" s="499"/>
      <c r="MX27" s="499"/>
      <c r="MY27" s="499"/>
      <c r="MZ27" s="499"/>
      <c r="NA27" s="499"/>
      <c r="NB27" s="499"/>
      <c r="NC27" s="499"/>
      <c r="ND27" s="499"/>
      <c r="NE27" s="499"/>
      <c r="NF27" s="499"/>
      <c r="NG27" s="499"/>
      <c r="NH27" s="499"/>
      <c r="NI27" s="499"/>
      <c r="NJ27" s="499"/>
      <c r="NK27" s="499"/>
      <c r="NL27" s="499"/>
      <c r="NM27" s="499"/>
      <c r="NN27" s="499"/>
      <c r="NO27" s="499"/>
      <c r="NP27" s="499"/>
      <c r="NQ27" s="499"/>
      <c r="NR27" s="499"/>
      <c r="NS27" s="499"/>
      <c r="NT27" s="499"/>
      <c r="NU27" s="499"/>
      <c r="NV27" s="499"/>
      <c r="NW27" s="499"/>
      <c r="NX27" s="499"/>
      <c r="NY27" s="499"/>
      <c r="NZ27" s="499"/>
      <c r="OA27" s="499"/>
      <c r="OB27" s="499"/>
      <c r="OC27" s="499"/>
      <c r="OD27" s="499"/>
      <c r="OE27" s="499"/>
      <c r="OF27" s="499"/>
      <c r="OG27" s="499"/>
      <c r="OH27" s="499"/>
      <c r="OI27" s="499"/>
      <c r="OJ27" s="499"/>
      <c r="OK27" s="499"/>
      <c r="OL27" s="499"/>
      <c r="OM27" s="499"/>
      <c r="ON27" s="499"/>
      <c r="OO27" s="499"/>
      <c r="OP27" s="499"/>
      <c r="OQ27" s="499"/>
      <c r="OR27" s="499"/>
      <c r="OS27" s="499"/>
      <c r="OT27" s="499"/>
      <c r="OU27" s="499"/>
      <c r="OV27" s="499"/>
      <c r="OW27" s="499"/>
      <c r="OX27" s="499"/>
      <c r="OY27" s="499"/>
      <c r="OZ27" s="499"/>
      <c r="PA27" s="499"/>
      <c r="PB27" s="499"/>
      <c r="PC27" s="499"/>
      <c r="PD27" s="499"/>
      <c r="PE27" s="499"/>
      <c r="PF27" s="499"/>
      <c r="PG27" s="499"/>
      <c r="PH27" s="499"/>
      <c r="PI27" s="499"/>
      <c r="PJ27" s="499"/>
      <c r="PK27" s="499"/>
      <c r="PL27" s="499"/>
      <c r="PM27" s="499"/>
      <c r="PN27" s="499"/>
      <c r="PO27" s="499"/>
      <c r="PP27" s="499"/>
      <c r="PQ27" s="499"/>
      <c r="PR27" s="499"/>
      <c r="PS27" s="499"/>
      <c r="PT27" s="499"/>
      <c r="PU27" s="499"/>
      <c r="PV27" s="499"/>
      <c r="PW27" s="499"/>
      <c r="PX27" s="499"/>
      <c r="PY27" s="499"/>
      <c r="PZ27" s="499"/>
      <c r="QA27" s="499"/>
      <c r="QB27" s="499"/>
      <c r="QC27" s="499"/>
      <c r="QD27" s="499"/>
      <c r="QE27" s="499"/>
      <c r="QF27" s="499"/>
      <c r="QG27" s="499"/>
      <c r="QH27" s="499"/>
      <c r="QI27" s="499"/>
      <c r="QJ27" s="499"/>
      <c r="QK27" s="499"/>
      <c r="QL27" s="499"/>
      <c r="QM27" s="499"/>
      <c r="QN27" s="499"/>
      <c r="QO27" s="499"/>
      <c r="QP27" s="499"/>
      <c r="QQ27" s="499"/>
      <c r="QR27" s="499"/>
      <c r="QS27" s="499"/>
      <c r="QT27" s="499"/>
      <c r="QU27" s="499"/>
      <c r="QV27" s="499"/>
      <c r="QW27" s="499"/>
      <c r="QX27" s="499"/>
      <c r="QY27" s="499"/>
      <c r="QZ27" s="499"/>
      <c r="RA27" s="499"/>
      <c r="RB27" s="499"/>
      <c r="RC27" s="499"/>
      <c r="RD27" s="499"/>
      <c r="RE27" s="499"/>
      <c r="RF27" s="499"/>
      <c r="RG27" s="499"/>
      <c r="RH27" s="499"/>
      <c r="RI27" s="499"/>
      <c r="RJ27" s="499"/>
      <c r="RK27" s="499"/>
      <c r="RL27" s="499"/>
      <c r="RM27" s="499"/>
      <c r="RN27" s="499"/>
      <c r="RO27" s="499"/>
      <c r="RP27" s="499"/>
      <c r="RQ27" s="499"/>
      <c r="RR27" s="499"/>
      <c r="RS27" s="499"/>
      <c r="RT27" s="499"/>
      <c r="RU27" s="499"/>
      <c r="RV27" s="499"/>
      <c r="RW27" s="499"/>
      <c r="RX27" s="499"/>
      <c r="RY27" s="499"/>
      <c r="RZ27" s="499"/>
      <c r="SA27" s="499"/>
      <c r="SB27" s="499"/>
      <c r="SC27" s="499"/>
      <c r="SD27" s="499"/>
      <c r="SE27" s="499"/>
      <c r="SF27" s="499"/>
      <c r="SG27" s="499"/>
      <c r="SH27" s="499"/>
      <c r="SI27" s="499"/>
      <c r="SJ27" s="499"/>
      <c r="SK27" s="499"/>
      <c r="SL27" s="499"/>
      <c r="SM27" s="499"/>
      <c r="SN27" s="499"/>
      <c r="SO27" s="499"/>
      <c r="SP27" s="499"/>
      <c r="SQ27" s="499"/>
      <c r="SR27" s="499"/>
      <c r="SS27" s="499"/>
      <c r="ST27" s="499"/>
      <c r="SU27" s="499"/>
      <c r="SV27" s="499"/>
      <c r="SW27" s="499"/>
      <c r="SX27" s="499"/>
      <c r="SY27" s="499"/>
      <c r="SZ27" s="499"/>
      <c r="TA27" s="499"/>
      <c r="TB27" s="499"/>
      <c r="TC27" s="499"/>
      <c r="TD27" s="499"/>
      <c r="TE27" s="499"/>
      <c r="TF27" s="499"/>
      <c r="TG27" s="499"/>
      <c r="TH27" s="499"/>
      <c r="TI27" s="499"/>
      <c r="TJ27" s="499"/>
      <c r="TK27" s="499"/>
      <c r="TL27" s="499"/>
      <c r="TM27" s="499"/>
      <c r="TN27" s="499"/>
      <c r="TO27" s="499"/>
      <c r="TP27" s="499"/>
      <c r="TQ27" s="499"/>
      <c r="TR27" s="499"/>
      <c r="TS27" s="499"/>
      <c r="TT27" s="499"/>
      <c r="TU27" s="499"/>
      <c r="TV27" s="499"/>
      <c r="TW27" s="499"/>
      <c r="TX27" s="499"/>
      <c r="TY27" s="499"/>
      <c r="TZ27" s="499"/>
      <c r="UA27" s="499"/>
      <c r="UB27" s="499"/>
      <c r="UC27" s="499"/>
      <c r="UD27" s="499"/>
      <c r="UE27" s="499"/>
      <c r="UF27" s="499"/>
      <c r="UG27" s="499"/>
      <c r="UH27" s="499"/>
      <c r="UI27" s="499"/>
      <c r="UJ27" s="499"/>
      <c r="UK27" s="499"/>
      <c r="UL27" s="499"/>
      <c r="UM27" s="499"/>
      <c r="UN27" s="499"/>
      <c r="UO27" s="499"/>
      <c r="UP27" s="499"/>
      <c r="UQ27" s="499"/>
      <c r="UR27" s="499"/>
      <c r="US27" s="499"/>
      <c r="UT27" s="499"/>
      <c r="UU27" s="499"/>
      <c r="UV27" s="499"/>
      <c r="UW27" s="499"/>
      <c r="UX27" s="499"/>
      <c r="UY27" s="499"/>
      <c r="UZ27" s="499"/>
      <c r="VA27" s="499"/>
      <c r="VB27" s="499"/>
      <c r="VC27" s="499"/>
      <c r="VD27" s="499"/>
      <c r="VE27" s="499"/>
      <c r="VF27" s="499"/>
      <c r="VG27" s="499"/>
      <c r="VH27" s="499"/>
      <c r="VI27" s="499"/>
      <c r="VJ27" s="499"/>
      <c r="VK27" s="499"/>
      <c r="VL27" s="499"/>
      <c r="VM27" s="499"/>
      <c r="VN27" s="499"/>
      <c r="VO27" s="499"/>
      <c r="VP27" s="499"/>
      <c r="VQ27" s="499"/>
      <c r="VR27" s="499"/>
      <c r="VS27" s="499"/>
      <c r="VT27" s="499"/>
      <c r="VU27" s="499"/>
      <c r="VV27" s="499"/>
      <c r="VW27" s="499"/>
      <c r="VX27" s="499"/>
      <c r="VY27" s="499"/>
      <c r="VZ27" s="499"/>
      <c r="WA27" s="499"/>
      <c r="WB27" s="499"/>
      <c r="WC27" s="499"/>
      <c r="WD27" s="499"/>
      <c r="WE27" s="499"/>
      <c r="WF27" s="499"/>
    </row>
    <row r="28" spans="1:604" ht="45" customHeight="1" x14ac:dyDescent="0.2">
      <c r="A28" s="486"/>
      <c r="B28" s="486"/>
      <c r="C28" s="489" t="s">
        <v>4</v>
      </c>
      <c r="D28" s="489" t="s">
        <v>190</v>
      </c>
      <c r="E28" s="489">
        <v>180720</v>
      </c>
      <c r="F28" s="448" t="s">
        <v>239</v>
      </c>
      <c r="G28" s="437">
        <f>'MC-DRE'!E22</f>
        <v>35</v>
      </c>
      <c r="H28" s="440" t="s">
        <v>328</v>
      </c>
      <c r="I28" s="479">
        <v>165.56</v>
      </c>
      <c r="J28" s="439">
        <f t="shared" ref="J28:J59" si="1">ROUND(I28*(1+$J$9),2)</f>
        <v>211.02</v>
      </c>
      <c r="K28" s="476">
        <f t="shared" ref="K28:K59" si="2">ROUND(J28*G28,2)</f>
        <v>7385.7</v>
      </c>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c r="BH28" s="444"/>
      <c r="BI28" s="444"/>
      <c r="BJ28" s="444"/>
      <c r="BK28" s="444"/>
      <c r="BL28" s="444"/>
      <c r="BM28" s="444"/>
      <c r="BN28" s="444"/>
      <c r="BO28" s="444"/>
      <c r="BP28" s="444"/>
      <c r="BQ28" s="444"/>
      <c r="BR28" s="444"/>
      <c r="BS28" s="444"/>
      <c r="BT28" s="444"/>
      <c r="BU28" s="444"/>
      <c r="BV28" s="444"/>
      <c r="BW28" s="444"/>
      <c r="BX28" s="444"/>
      <c r="BY28" s="444"/>
      <c r="BZ28" s="444"/>
      <c r="CA28" s="444"/>
      <c r="CB28" s="444"/>
      <c r="CC28" s="444"/>
      <c r="CD28" s="444"/>
      <c r="CE28" s="444"/>
      <c r="CF28" s="444"/>
      <c r="CG28" s="444"/>
      <c r="CH28" s="444"/>
      <c r="CI28" s="444"/>
      <c r="CJ28" s="444"/>
      <c r="CK28" s="444"/>
      <c r="CL28" s="444"/>
      <c r="CM28" s="444"/>
      <c r="CN28" s="444"/>
      <c r="CO28" s="444"/>
      <c r="CP28" s="444"/>
      <c r="CQ28" s="444"/>
      <c r="CR28" s="444"/>
      <c r="CS28" s="444"/>
      <c r="CT28" s="444"/>
      <c r="CU28" s="444"/>
      <c r="CV28" s="444"/>
      <c r="CW28" s="444"/>
      <c r="CX28" s="444"/>
      <c r="CY28" s="444"/>
      <c r="CZ28" s="444"/>
      <c r="DA28" s="444"/>
      <c r="DB28" s="444"/>
      <c r="DC28" s="444"/>
      <c r="DD28" s="444"/>
      <c r="DE28" s="444"/>
      <c r="DF28" s="444"/>
      <c r="DG28" s="444"/>
      <c r="DH28" s="444"/>
      <c r="DI28" s="444"/>
      <c r="DJ28" s="444"/>
      <c r="DK28" s="444"/>
      <c r="DL28" s="444"/>
      <c r="DM28" s="444"/>
      <c r="DN28" s="444"/>
      <c r="DO28" s="444"/>
      <c r="DP28" s="444"/>
      <c r="DQ28" s="444"/>
      <c r="DR28" s="444"/>
      <c r="DS28" s="444"/>
      <c r="DT28" s="444"/>
      <c r="DU28" s="444"/>
      <c r="DV28" s="444"/>
      <c r="DW28" s="444"/>
      <c r="DX28" s="444"/>
      <c r="DY28" s="444"/>
      <c r="DZ28" s="444"/>
      <c r="EA28" s="444"/>
      <c r="EB28" s="444"/>
      <c r="EC28" s="444"/>
      <c r="ED28" s="444"/>
      <c r="EE28" s="444"/>
      <c r="EF28" s="444"/>
      <c r="EG28" s="444"/>
      <c r="EH28" s="444"/>
      <c r="EI28" s="444"/>
      <c r="EJ28" s="444"/>
      <c r="EK28" s="444"/>
      <c r="EL28" s="444"/>
      <c r="EM28" s="444"/>
      <c r="EN28" s="444"/>
      <c r="EO28" s="444"/>
      <c r="EP28" s="444"/>
      <c r="EQ28" s="444"/>
      <c r="ER28" s="444"/>
      <c r="ES28" s="444"/>
      <c r="ET28" s="444"/>
      <c r="EU28" s="444"/>
      <c r="EV28" s="444"/>
      <c r="EW28" s="444"/>
      <c r="EX28" s="444"/>
      <c r="EY28" s="444"/>
      <c r="EZ28" s="444"/>
      <c r="FA28" s="444"/>
      <c r="FB28" s="444"/>
      <c r="FC28" s="444"/>
      <c r="FD28" s="444"/>
      <c r="FE28" s="444"/>
      <c r="FF28" s="444"/>
      <c r="FG28" s="444"/>
      <c r="FH28" s="444"/>
      <c r="FI28" s="444"/>
      <c r="FJ28" s="444"/>
      <c r="FK28" s="444"/>
      <c r="FL28" s="444"/>
      <c r="FM28" s="444"/>
      <c r="FN28" s="444"/>
      <c r="FO28" s="444"/>
      <c r="FP28" s="444"/>
      <c r="FQ28" s="444"/>
      <c r="FR28" s="444"/>
      <c r="FS28" s="444"/>
      <c r="FT28" s="444"/>
      <c r="FU28" s="444"/>
      <c r="FV28" s="444"/>
      <c r="FW28" s="444"/>
      <c r="FX28" s="444"/>
      <c r="FY28" s="444"/>
      <c r="FZ28" s="444"/>
      <c r="GA28" s="444"/>
      <c r="GB28" s="444"/>
      <c r="GC28" s="444"/>
      <c r="GD28" s="444"/>
      <c r="GE28" s="444"/>
      <c r="GF28" s="444"/>
      <c r="GG28" s="444"/>
      <c r="GH28" s="444"/>
      <c r="GI28" s="444"/>
      <c r="GJ28" s="444"/>
      <c r="GK28" s="444"/>
      <c r="GL28" s="444"/>
      <c r="GM28" s="444"/>
      <c r="GN28" s="444"/>
      <c r="GO28" s="444"/>
      <c r="GP28" s="444"/>
      <c r="GQ28" s="444"/>
      <c r="GR28" s="444"/>
      <c r="GS28" s="444"/>
      <c r="GT28" s="444"/>
      <c r="GU28" s="444"/>
      <c r="GV28" s="444"/>
      <c r="GW28" s="444"/>
      <c r="GX28" s="444"/>
      <c r="GY28" s="444"/>
      <c r="GZ28" s="444"/>
      <c r="HA28" s="444"/>
      <c r="HB28" s="444"/>
      <c r="HC28" s="444"/>
      <c r="HD28" s="444"/>
      <c r="HE28" s="444"/>
      <c r="HF28" s="444"/>
      <c r="HG28" s="444"/>
      <c r="HH28" s="444"/>
      <c r="HI28" s="444"/>
      <c r="HJ28" s="444"/>
      <c r="HK28" s="444"/>
      <c r="HL28" s="444"/>
      <c r="HM28" s="444"/>
      <c r="HN28" s="444"/>
      <c r="HO28" s="444"/>
      <c r="HP28" s="444"/>
      <c r="HQ28" s="444"/>
      <c r="HR28" s="444"/>
      <c r="HS28" s="444"/>
      <c r="HT28" s="444"/>
      <c r="HU28" s="444"/>
      <c r="HV28" s="444"/>
      <c r="HW28" s="444"/>
      <c r="HX28" s="444"/>
      <c r="HY28" s="444"/>
      <c r="HZ28" s="444"/>
      <c r="IA28" s="444"/>
      <c r="IB28" s="444"/>
      <c r="IC28" s="444"/>
      <c r="ID28" s="444"/>
      <c r="IE28" s="444"/>
      <c r="IF28" s="444"/>
      <c r="IG28" s="444"/>
      <c r="IH28" s="444"/>
      <c r="II28" s="444"/>
      <c r="IJ28" s="444"/>
      <c r="IK28" s="444"/>
      <c r="IL28" s="444"/>
      <c r="IM28" s="444"/>
      <c r="IN28" s="444"/>
      <c r="IO28" s="444"/>
      <c r="IP28" s="444"/>
      <c r="IQ28" s="444"/>
      <c r="IR28" s="444"/>
      <c r="IS28" s="444"/>
      <c r="IT28" s="444"/>
      <c r="IU28" s="444"/>
      <c r="IV28" s="444"/>
      <c r="IW28" s="444"/>
      <c r="IX28" s="444"/>
      <c r="IY28" s="444"/>
      <c r="IZ28" s="444"/>
      <c r="JA28" s="444"/>
      <c r="JB28" s="444"/>
      <c r="JC28" s="444"/>
      <c r="JD28" s="444"/>
      <c r="JE28" s="444"/>
      <c r="JF28" s="444"/>
      <c r="JG28" s="444"/>
      <c r="JH28" s="444"/>
      <c r="JI28" s="444"/>
      <c r="JJ28" s="444"/>
      <c r="JK28" s="444"/>
      <c r="JL28" s="444"/>
      <c r="JM28" s="444"/>
      <c r="JN28" s="444"/>
      <c r="JO28" s="444"/>
      <c r="JP28" s="444"/>
      <c r="JQ28" s="444"/>
      <c r="JR28" s="444"/>
      <c r="JS28" s="444"/>
      <c r="JT28" s="444"/>
      <c r="JU28" s="444"/>
      <c r="JV28" s="444"/>
      <c r="JW28" s="444"/>
      <c r="JX28" s="444"/>
      <c r="JY28" s="444"/>
      <c r="JZ28" s="444"/>
      <c r="KA28" s="444"/>
      <c r="KB28" s="444"/>
      <c r="KC28" s="444"/>
      <c r="KD28" s="444"/>
      <c r="KE28" s="444"/>
      <c r="KF28" s="444"/>
      <c r="KG28" s="444"/>
      <c r="KH28" s="444"/>
      <c r="KI28" s="444"/>
      <c r="KJ28" s="444"/>
      <c r="KK28" s="444"/>
      <c r="KL28" s="444"/>
      <c r="KM28" s="444"/>
      <c r="KN28" s="444"/>
      <c r="KO28" s="444"/>
      <c r="KP28" s="444"/>
      <c r="KQ28" s="444"/>
      <c r="KR28" s="444"/>
      <c r="KS28" s="444"/>
      <c r="KT28" s="444"/>
      <c r="KU28" s="444"/>
      <c r="KV28" s="444"/>
      <c r="KW28" s="444"/>
      <c r="KX28" s="444"/>
      <c r="KY28" s="444"/>
      <c r="KZ28" s="444"/>
      <c r="LA28" s="444"/>
      <c r="LB28" s="444"/>
      <c r="LC28" s="444"/>
      <c r="LD28" s="444"/>
      <c r="LE28" s="444"/>
      <c r="LF28" s="444"/>
      <c r="LG28" s="444"/>
      <c r="LH28" s="444"/>
      <c r="LI28" s="444"/>
      <c r="LJ28" s="444"/>
      <c r="LK28" s="444"/>
      <c r="LL28" s="444"/>
      <c r="LM28" s="444"/>
      <c r="LN28" s="444"/>
      <c r="LO28" s="444"/>
      <c r="LP28" s="444"/>
      <c r="LQ28" s="444"/>
      <c r="LR28" s="444"/>
      <c r="LS28" s="444"/>
      <c r="LT28" s="444"/>
      <c r="LU28" s="444"/>
      <c r="LV28" s="444"/>
      <c r="LW28" s="444"/>
      <c r="LX28" s="444"/>
      <c r="LY28" s="444"/>
      <c r="LZ28" s="444"/>
      <c r="MA28" s="444"/>
      <c r="MB28" s="444"/>
      <c r="MC28" s="444"/>
      <c r="MD28" s="444"/>
      <c r="ME28" s="444"/>
      <c r="MF28" s="444"/>
      <c r="MG28" s="444"/>
      <c r="MH28" s="444"/>
      <c r="MI28" s="444"/>
      <c r="MJ28" s="444"/>
      <c r="MK28" s="444"/>
      <c r="ML28" s="444"/>
      <c r="MM28" s="444"/>
      <c r="MN28" s="444"/>
      <c r="MO28" s="444"/>
      <c r="MP28" s="444"/>
      <c r="MQ28" s="444"/>
      <c r="MR28" s="444"/>
      <c r="MS28" s="444"/>
      <c r="MT28" s="444"/>
      <c r="MU28" s="444"/>
      <c r="MV28" s="444"/>
      <c r="MW28" s="444"/>
      <c r="MX28" s="444"/>
      <c r="MY28" s="444"/>
      <c r="MZ28" s="444"/>
      <c r="NA28" s="444"/>
      <c r="NB28" s="444"/>
      <c r="NC28" s="444"/>
      <c r="ND28" s="444"/>
      <c r="NE28" s="444"/>
      <c r="NF28" s="444"/>
      <c r="NG28" s="444"/>
      <c r="NH28" s="444"/>
      <c r="NI28" s="444"/>
      <c r="NJ28" s="444"/>
      <c r="NK28" s="444"/>
      <c r="NL28" s="444"/>
      <c r="NM28" s="444"/>
      <c r="NN28" s="444"/>
      <c r="NO28" s="444"/>
      <c r="NP28" s="444"/>
      <c r="NQ28" s="444"/>
      <c r="NR28" s="444"/>
      <c r="NS28" s="444"/>
      <c r="NT28" s="444"/>
      <c r="NU28" s="444"/>
      <c r="NV28" s="444"/>
      <c r="NW28" s="444"/>
      <c r="NX28" s="444"/>
      <c r="NY28" s="444"/>
      <c r="NZ28" s="444"/>
      <c r="OA28" s="444"/>
      <c r="OB28" s="444"/>
      <c r="OC28" s="444"/>
      <c r="OD28" s="444"/>
      <c r="OE28" s="444"/>
      <c r="OF28" s="444"/>
      <c r="OG28" s="444"/>
      <c r="OH28" s="444"/>
      <c r="OI28" s="444"/>
      <c r="OJ28" s="444"/>
      <c r="OK28" s="444"/>
      <c r="OL28" s="444"/>
      <c r="OM28" s="444"/>
      <c r="ON28" s="444"/>
      <c r="OO28" s="444"/>
      <c r="OP28" s="444"/>
      <c r="OQ28" s="444"/>
      <c r="OR28" s="444"/>
      <c r="OS28" s="444"/>
      <c r="OT28" s="444"/>
      <c r="OU28" s="444"/>
      <c r="OV28" s="444"/>
      <c r="OW28" s="444"/>
      <c r="OX28" s="444"/>
      <c r="OY28" s="444"/>
      <c r="OZ28" s="444"/>
      <c r="PA28" s="444"/>
      <c r="PB28" s="444"/>
      <c r="PC28" s="444"/>
      <c r="PD28" s="444"/>
      <c r="PE28" s="444"/>
      <c r="PF28" s="444"/>
      <c r="PG28" s="444"/>
      <c r="PH28" s="444"/>
      <c r="PI28" s="444"/>
      <c r="PJ28" s="444"/>
      <c r="PK28" s="444"/>
      <c r="PL28" s="444"/>
      <c r="PM28" s="444"/>
      <c r="PN28" s="444"/>
      <c r="PO28" s="444"/>
      <c r="PP28" s="444"/>
      <c r="PQ28" s="444"/>
      <c r="PR28" s="444"/>
      <c r="PS28" s="444"/>
      <c r="PT28" s="444"/>
      <c r="PU28" s="444"/>
      <c r="PV28" s="444"/>
      <c r="PW28" s="444"/>
      <c r="PX28" s="444"/>
      <c r="PY28" s="444"/>
      <c r="PZ28" s="444"/>
      <c r="QA28" s="444"/>
      <c r="QB28" s="444"/>
      <c r="QC28" s="444"/>
      <c r="QD28" s="444"/>
      <c r="QE28" s="444"/>
      <c r="QF28" s="444"/>
      <c r="QG28" s="444"/>
      <c r="QH28" s="444"/>
      <c r="QI28" s="444"/>
      <c r="QJ28" s="444"/>
      <c r="QK28" s="444"/>
      <c r="QL28" s="444"/>
      <c r="QM28" s="444"/>
      <c r="QN28" s="444"/>
      <c r="QO28" s="444"/>
      <c r="QP28" s="444"/>
      <c r="QQ28" s="444"/>
      <c r="QR28" s="444"/>
      <c r="QS28" s="444"/>
      <c r="QT28" s="444"/>
      <c r="QU28" s="444"/>
      <c r="QV28" s="444"/>
      <c r="QW28" s="444"/>
      <c r="QX28" s="444"/>
      <c r="QY28" s="444"/>
      <c r="QZ28" s="444"/>
      <c r="RA28" s="444"/>
      <c r="RB28" s="444"/>
      <c r="RC28" s="444"/>
      <c r="RD28" s="444"/>
      <c r="RE28" s="444"/>
      <c r="RF28" s="444"/>
      <c r="RG28" s="444"/>
      <c r="RH28" s="444"/>
      <c r="RI28" s="444"/>
      <c r="RJ28" s="444"/>
      <c r="RK28" s="444"/>
      <c r="RL28" s="444"/>
      <c r="RM28" s="444"/>
      <c r="RN28" s="444"/>
      <c r="RO28" s="444"/>
      <c r="RP28" s="444"/>
      <c r="RQ28" s="444"/>
      <c r="RR28" s="444"/>
      <c r="RS28" s="444"/>
      <c r="RT28" s="444"/>
      <c r="RU28" s="444"/>
      <c r="RV28" s="444"/>
      <c r="RW28" s="444"/>
      <c r="RX28" s="444"/>
      <c r="RY28" s="444"/>
      <c r="RZ28" s="444"/>
      <c r="SA28" s="444"/>
      <c r="SB28" s="444"/>
      <c r="SC28" s="444"/>
      <c r="SD28" s="444"/>
      <c r="SE28" s="444"/>
      <c r="SF28" s="444"/>
      <c r="SG28" s="444"/>
      <c r="SH28" s="444"/>
      <c r="SI28" s="444"/>
      <c r="SJ28" s="444"/>
      <c r="SK28" s="444"/>
      <c r="SL28" s="444"/>
      <c r="SM28" s="444"/>
      <c r="SN28" s="444"/>
      <c r="SO28" s="444"/>
      <c r="SP28" s="444"/>
      <c r="SQ28" s="444"/>
      <c r="SR28" s="444"/>
      <c r="SS28" s="444"/>
      <c r="ST28" s="444"/>
      <c r="SU28" s="444"/>
      <c r="SV28" s="444"/>
      <c r="SW28" s="444"/>
      <c r="SX28" s="444"/>
      <c r="SY28" s="444"/>
      <c r="SZ28" s="444"/>
      <c r="TA28" s="444"/>
      <c r="TB28" s="444"/>
      <c r="TC28" s="444"/>
      <c r="TD28" s="444"/>
      <c r="TE28" s="444"/>
      <c r="TF28" s="444"/>
      <c r="TG28" s="444"/>
      <c r="TH28" s="444"/>
      <c r="TI28" s="444"/>
      <c r="TJ28" s="444"/>
      <c r="TK28" s="444"/>
      <c r="TL28" s="444"/>
      <c r="TM28" s="444"/>
      <c r="TN28" s="444"/>
      <c r="TO28" s="444"/>
      <c r="TP28" s="444"/>
      <c r="TQ28" s="444"/>
      <c r="TR28" s="444"/>
      <c r="TS28" s="444"/>
      <c r="TT28" s="444"/>
      <c r="TU28" s="444"/>
      <c r="TV28" s="444"/>
      <c r="TW28" s="444"/>
      <c r="TX28" s="444"/>
      <c r="TY28" s="444"/>
      <c r="TZ28" s="444"/>
      <c r="UA28" s="444"/>
      <c r="UB28" s="444"/>
      <c r="UC28" s="444"/>
      <c r="UD28" s="444"/>
      <c r="UE28" s="444"/>
      <c r="UF28" s="444"/>
      <c r="UG28" s="444"/>
      <c r="UH28" s="444"/>
      <c r="UI28" s="444"/>
      <c r="UJ28" s="444"/>
      <c r="UK28" s="444"/>
      <c r="UL28" s="444"/>
      <c r="UM28" s="444"/>
      <c r="UN28" s="444"/>
      <c r="UO28" s="444"/>
      <c r="UP28" s="444"/>
      <c r="UQ28" s="444"/>
      <c r="UR28" s="444"/>
      <c r="US28" s="444"/>
      <c r="UT28" s="444"/>
      <c r="UU28" s="444"/>
      <c r="UV28" s="444"/>
      <c r="UW28" s="444"/>
      <c r="UX28" s="444"/>
      <c r="UY28" s="444"/>
      <c r="UZ28" s="444"/>
      <c r="VA28" s="444"/>
      <c r="VB28" s="444"/>
      <c r="VC28" s="444"/>
      <c r="VD28" s="444"/>
      <c r="VE28" s="444"/>
      <c r="VF28" s="444"/>
      <c r="VG28" s="444"/>
      <c r="VH28" s="444"/>
      <c r="VI28" s="444"/>
      <c r="VJ28" s="444"/>
      <c r="VK28" s="444"/>
      <c r="VL28" s="444"/>
      <c r="VM28" s="444"/>
      <c r="VN28" s="444"/>
      <c r="VO28" s="444"/>
      <c r="VP28" s="444"/>
      <c r="VQ28" s="444"/>
      <c r="VR28" s="444"/>
      <c r="VS28" s="444"/>
      <c r="VT28" s="444"/>
      <c r="VU28" s="444"/>
      <c r="VV28" s="444"/>
      <c r="VW28" s="444"/>
      <c r="VX28" s="444"/>
      <c r="VY28" s="444"/>
      <c r="VZ28" s="444"/>
      <c r="WA28" s="444"/>
      <c r="WB28" s="444"/>
      <c r="WC28" s="444"/>
      <c r="WD28" s="444"/>
      <c r="WE28" s="444"/>
      <c r="WF28" s="444"/>
    </row>
    <row r="29" spans="1:604" ht="45" customHeight="1" x14ac:dyDescent="0.2">
      <c r="A29" s="486"/>
      <c r="B29" s="486"/>
      <c r="C29" s="440" t="s">
        <v>691</v>
      </c>
      <c r="D29" s="450" t="s">
        <v>190</v>
      </c>
      <c r="E29" s="441" t="s">
        <v>501</v>
      </c>
      <c r="F29" s="442" t="s">
        <v>502</v>
      </c>
      <c r="G29" s="437">
        <f>'MC-DRE'!I22</f>
        <v>38.93</v>
      </c>
      <c r="H29" s="438" t="s">
        <v>0</v>
      </c>
      <c r="I29" s="479">
        <v>11.48</v>
      </c>
      <c r="J29" s="439">
        <f t="shared" si="1"/>
        <v>14.63</v>
      </c>
      <c r="K29" s="476">
        <f t="shared" si="2"/>
        <v>569.54999999999995</v>
      </c>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4"/>
      <c r="BI29" s="444"/>
      <c r="BJ29" s="444"/>
      <c r="BK29" s="444"/>
      <c r="BL29" s="444"/>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444"/>
      <c r="CO29" s="444"/>
      <c r="CP29" s="444"/>
      <c r="CQ29" s="444"/>
      <c r="CR29" s="444"/>
      <c r="CS29" s="444"/>
      <c r="CT29" s="444"/>
      <c r="CU29" s="444"/>
      <c r="CV29" s="444"/>
      <c r="CW29" s="444"/>
      <c r="CX29" s="444"/>
      <c r="CY29" s="444"/>
      <c r="CZ29" s="444"/>
      <c r="DA29" s="444"/>
      <c r="DB29" s="444"/>
      <c r="DC29" s="444"/>
      <c r="DD29" s="444"/>
      <c r="DE29" s="444"/>
      <c r="DF29" s="444"/>
      <c r="DG29" s="444"/>
      <c r="DH29" s="444"/>
      <c r="DI29" s="444"/>
      <c r="DJ29" s="444"/>
      <c r="DK29" s="444"/>
      <c r="DL29" s="444"/>
      <c r="DM29" s="444"/>
      <c r="DN29" s="444"/>
      <c r="DO29" s="444"/>
      <c r="DP29" s="444"/>
      <c r="DQ29" s="444"/>
      <c r="DR29" s="444"/>
      <c r="DS29" s="444"/>
      <c r="DT29" s="444"/>
      <c r="DU29" s="444"/>
      <c r="DV29" s="444"/>
      <c r="DW29" s="444"/>
      <c r="DX29" s="444"/>
      <c r="DY29" s="444"/>
      <c r="DZ29" s="444"/>
      <c r="EA29" s="444"/>
      <c r="EB29" s="444"/>
      <c r="EC29" s="444"/>
      <c r="ED29" s="444"/>
      <c r="EE29" s="444"/>
      <c r="EF29" s="444"/>
      <c r="EG29" s="444"/>
      <c r="EH29" s="444"/>
      <c r="EI29" s="444"/>
      <c r="EJ29" s="444"/>
      <c r="EK29" s="444"/>
      <c r="EL29" s="444"/>
      <c r="EM29" s="444"/>
      <c r="EN29" s="444"/>
      <c r="EO29" s="444"/>
      <c r="EP29" s="444"/>
      <c r="EQ29" s="444"/>
      <c r="ER29" s="444"/>
      <c r="ES29" s="444"/>
      <c r="ET29" s="444"/>
      <c r="EU29" s="444"/>
      <c r="EV29" s="444"/>
      <c r="EW29" s="444"/>
      <c r="EX29" s="444"/>
      <c r="EY29" s="444"/>
      <c r="EZ29" s="444"/>
      <c r="FA29" s="444"/>
      <c r="FB29" s="444"/>
      <c r="FC29" s="444"/>
      <c r="FD29" s="444"/>
      <c r="FE29" s="444"/>
      <c r="FF29" s="444"/>
      <c r="FG29" s="444"/>
      <c r="FH29" s="444"/>
      <c r="FI29" s="444"/>
      <c r="FJ29" s="444"/>
      <c r="FK29" s="444"/>
      <c r="FL29" s="444"/>
      <c r="FM29" s="444"/>
      <c r="FN29" s="444"/>
      <c r="FO29" s="444"/>
      <c r="FP29" s="444"/>
      <c r="FQ29" s="444"/>
      <c r="FR29" s="444"/>
      <c r="FS29" s="444"/>
      <c r="FT29" s="444"/>
      <c r="FU29" s="444"/>
      <c r="FV29" s="444"/>
      <c r="FW29" s="444"/>
      <c r="FX29" s="444"/>
      <c r="FY29" s="444"/>
      <c r="FZ29" s="444"/>
      <c r="GA29" s="444"/>
      <c r="GB29" s="444"/>
      <c r="GC29" s="444"/>
      <c r="GD29" s="444"/>
      <c r="GE29" s="444"/>
      <c r="GF29" s="444"/>
      <c r="GG29" s="444"/>
      <c r="GH29" s="444"/>
      <c r="GI29" s="444"/>
      <c r="GJ29" s="444"/>
      <c r="GK29" s="444"/>
      <c r="GL29" s="444"/>
      <c r="GM29" s="444"/>
      <c r="GN29" s="444"/>
      <c r="GO29" s="444"/>
      <c r="GP29" s="444"/>
      <c r="GQ29" s="444"/>
      <c r="GR29" s="444"/>
      <c r="GS29" s="444"/>
      <c r="GT29" s="444"/>
      <c r="GU29" s="444"/>
      <c r="GV29" s="444"/>
      <c r="GW29" s="444"/>
      <c r="GX29" s="444"/>
      <c r="GY29" s="444"/>
      <c r="GZ29" s="444"/>
      <c r="HA29" s="444"/>
      <c r="HB29" s="444"/>
      <c r="HC29" s="444"/>
      <c r="HD29" s="444"/>
      <c r="HE29" s="444"/>
      <c r="HF29" s="444"/>
      <c r="HG29" s="444"/>
      <c r="HH29" s="444"/>
      <c r="HI29" s="444"/>
      <c r="HJ29" s="444"/>
      <c r="HK29" s="444"/>
      <c r="HL29" s="444"/>
      <c r="HM29" s="444"/>
      <c r="HN29" s="444"/>
      <c r="HO29" s="444"/>
      <c r="HP29" s="444"/>
      <c r="HQ29" s="444"/>
      <c r="HR29" s="444"/>
      <c r="HS29" s="444"/>
      <c r="HT29" s="444"/>
      <c r="HU29" s="444"/>
      <c r="HV29" s="444"/>
      <c r="HW29" s="444"/>
      <c r="HX29" s="444"/>
      <c r="HY29" s="444"/>
      <c r="HZ29" s="444"/>
      <c r="IA29" s="444"/>
      <c r="IB29" s="444"/>
      <c r="IC29" s="444"/>
      <c r="ID29" s="444"/>
      <c r="IE29" s="444"/>
      <c r="IF29" s="444"/>
      <c r="IG29" s="444"/>
      <c r="IH29" s="444"/>
      <c r="II29" s="444"/>
      <c r="IJ29" s="444"/>
      <c r="IK29" s="444"/>
      <c r="IL29" s="444"/>
      <c r="IM29" s="444"/>
      <c r="IN29" s="444"/>
      <c r="IO29" s="444"/>
      <c r="IP29" s="444"/>
      <c r="IQ29" s="444"/>
      <c r="IR29" s="444"/>
      <c r="IS29" s="444"/>
      <c r="IT29" s="444"/>
      <c r="IU29" s="444"/>
      <c r="IV29" s="444"/>
      <c r="IW29" s="444"/>
      <c r="IX29" s="444"/>
      <c r="IY29" s="444"/>
      <c r="IZ29" s="444"/>
      <c r="JA29" s="444"/>
      <c r="JB29" s="444"/>
      <c r="JC29" s="444"/>
      <c r="JD29" s="444"/>
      <c r="JE29" s="444"/>
      <c r="JF29" s="444"/>
      <c r="JG29" s="444"/>
      <c r="JH29" s="444"/>
      <c r="JI29" s="444"/>
      <c r="JJ29" s="444"/>
      <c r="JK29" s="444"/>
      <c r="JL29" s="444"/>
      <c r="JM29" s="444"/>
      <c r="JN29" s="444"/>
      <c r="JO29" s="444"/>
      <c r="JP29" s="444"/>
      <c r="JQ29" s="444"/>
      <c r="JR29" s="444"/>
      <c r="JS29" s="444"/>
      <c r="JT29" s="444"/>
      <c r="JU29" s="444"/>
      <c r="JV29" s="444"/>
      <c r="JW29" s="444"/>
      <c r="JX29" s="444"/>
      <c r="JY29" s="444"/>
      <c r="JZ29" s="444"/>
      <c r="KA29" s="444"/>
      <c r="KB29" s="444"/>
      <c r="KC29" s="444"/>
      <c r="KD29" s="444"/>
      <c r="KE29" s="444"/>
      <c r="KF29" s="444"/>
      <c r="KG29" s="444"/>
      <c r="KH29" s="444"/>
      <c r="KI29" s="444"/>
      <c r="KJ29" s="444"/>
      <c r="KK29" s="444"/>
      <c r="KL29" s="444"/>
      <c r="KM29" s="444"/>
      <c r="KN29" s="444"/>
      <c r="KO29" s="444"/>
      <c r="KP29" s="444"/>
      <c r="KQ29" s="444"/>
      <c r="KR29" s="444"/>
      <c r="KS29" s="444"/>
      <c r="KT29" s="444"/>
      <c r="KU29" s="444"/>
      <c r="KV29" s="444"/>
      <c r="KW29" s="444"/>
      <c r="KX29" s="444"/>
      <c r="KY29" s="444"/>
      <c r="KZ29" s="444"/>
      <c r="LA29" s="444"/>
      <c r="LB29" s="444"/>
      <c r="LC29" s="444"/>
      <c r="LD29" s="444"/>
      <c r="LE29" s="444"/>
      <c r="LF29" s="444"/>
      <c r="LG29" s="444"/>
      <c r="LH29" s="444"/>
      <c r="LI29" s="444"/>
      <c r="LJ29" s="444"/>
      <c r="LK29" s="444"/>
      <c r="LL29" s="444"/>
      <c r="LM29" s="444"/>
      <c r="LN29" s="444"/>
      <c r="LO29" s="444"/>
      <c r="LP29" s="444"/>
      <c r="LQ29" s="444"/>
      <c r="LR29" s="444"/>
      <c r="LS29" s="444"/>
      <c r="LT29" s="444"/>
      <c r="LU29" s="444"/>
      <c r="LV29" s="444"/>
      <c r="LW29" s="444"/>
      <c r="LX29" s="444"/>
      <c r="LY29" s="444"/>
      <c r="LZ29" s="444"/>
      <c r="MA29" s="444"/>
      <c r="MB29" s="444"/>
      <c r="MC29" s="444"/>
      <c r="MD29" s="444"/>
      <c r="ME29" s="444"/>
      <c r="MF29" s="444"/>
      <c r="MG29" s="444"/>
      <c r="MH29" s="444"/>
      <c r="MI29" s="444"/>
      <c r="MJ29" s="444"/>
      <c r="MK29" s="444"/>
      <c r="ML29" s="444"/>
      <c r="MM29" s="444"/>
      <c r="MN29" s="444"/>
      <c r="MO29" s="444"/>
      <c r="MP29" s="444"/>
      <c r="MQ29" s="444"/>
      <c r="MR29" s="444"/>
      <c r="MS29" s="444"/>
      <c r="MT29" s="444"/>
      <c r="MU29" s="444"/>
      <c r="MV29" s="444"/>
      <c r="MW29" s="444"/>
      <c r="MX29" s="444"/>
      <c r="MY29" s="444"/>
      <c r="MZ29" s="444"/>
      <c r="NA29" s="444"/>
      <c r="NB29" s="444"/>
      <c r="NC29" s="444"/>
      <c r="ND29" s="444"/>
      <c r="NE29" s="444"/>
      <c r="NF29" s="444"/>
      <c r="NG29" s="444"/>
      <c r="NH29" s="444"/>
      <c r="NI29" s="444"/>
      <c r="NJ29" s="444"/>
      <c r="NK29" s="444"/>
      <c r="NL29" s="444"/>
      <c r="NM29" s="444"/>
      <c r="NN29" s="444"/>
      <c r="NO29" s="444"/>
      <c r="NP29" s="444"/>
      <c r="NQ29" s="444"/>
      <c r="NR29" s="444"/>
      <c r="NS29" s="444"/>
      <c r="NT29" s="444"/>
      <c r="NU29" s="444"/>
      <c r="NV29" s="444"/>
      <c r="NW29" s="444"/>
      <c r="NX29" s="444"/>
      <c r="NY29" s="444"/>
      <c r="NZ29" s="444"/>
      <c r="OA29" s="444"/>
      <c r="OB29" s="444"/>
      <c r="OC29" s="444"/>
      <c r="OD29" s="444"/>
      <c r="OE29" s="444"/>
      <c r="OF29" s="444"/>
      <c r="OG29" s="444"/>
      <c r="OH29" s="444"/>
      <c r="OI29" s="444"/>
      <c r="OJ29" s="444"/>
      <c r="OK29" s="444"/>
      <c r="OL29" s="444"/>
      <c r="OM29" s="444"/>
      <c r="ON29" s="444"/>
      <c r="OO29" s="444"/>
      <c r="OP29" s="444"/>
      <c r="OQ29" s="444"/>
      <c r="OR29" s="444"/>
      <c r="OS29" s="444"/>
      <c r="OT29" s="444"/>
      <c r="OU29" s="444"/>
      <c r="OV29" s="444"/>
      <c r="OW29" s="444"/>
      <c r="OX29" s="444"/>
      <c r="OY29" s="444"/>
      <c r="OZ29" s="444"/>
      <c r="PA29" s="444"/>
      <c r="PB29" s="444"/>
      <c r="PC29" s="444"/>
      <c r="PD29" s="444"/>
      <c r="PE29" s="444"/>
      <c r="PF29" s="444"/>
      <c r="PG29" s="444"/>
      <c r="PH29" s="444"/>
      <c r="PI29" s="444"/>
      <c r="PJ29" s="444"/>
      <c r="PK29" s="444"/>
      <c r="PL29" s="444"/>
      <c r="PM29" s="444"/>
      <c r="PN29" s="444"/>
      <c r="PO29" s="444"/>
      <c r="PP29" s="444"/>
      <c r="PQ29" s="444"/>
      <c r="PR29" s="444"/>
      <c r="PS29" s="444"/>
      <c r="PT29" s="444"/>
      <c r="PU29" s="444"/>
      <c r="PV29" s="444"/>
      <c r="PW29" s="444"/>
      <c r="PX29" s="444"/>
      <c r="PY29" s="444"/>
      <c r="PZ29" s="444"/>
      <c r="QA29" s="444"/>
      <c r="QB29" s="444"/>
      <c r="QC29" s="444"/>
      <c r="QD29" s="444"/>
      <c r="QE29" s="444"/>
      <c r="QF29" s="444"/>
      <c r="QG29" s="444"/>
      <c r="QH29" s="444"/>
      <c r="QI29" s="444"/>
      <c r="QJ29" s="444"/>
      <c r="QK29" s="444"/>
      <c r="QL29" s="444"/>
      <c r="QM29" s="444"/>
      <c r="QN29" s="444"/>
      <c r="QO29" s="444"/>
      <c r="QP29" s="444"/>
      <c r="QQ29" s="444"/>
      <c r="QR29" s="444"/>
      <c r="QS29" s="444"/>
      <c r="QT29" s="444"/>
      <c r="QU29" s="444"/>
      <c r="QV29" s="444"/>
      <c r="QW29" s="444"/>
      <c r="QX29" s="444"/>
      <c r="QY29" s="444"/>
      <c r="QZ29" s="444"/>
      <c r="RA29" s="444"/>
      <c r="RB29" s="444"/>
      <c r="RC29" s="444"/>
      <c r="RD29" s="444"/>
      <c r="RE29" s="444"/>
      <c r="RF29" s="444"/>
      <c r="RG29" s="444"/>
      <c r="RH29" s="444"/>
      <c r="RI29" s="444"/>
      <c r="RJ29" s="444"/>
      <c r="RK29" s="444"/>
      <c r="RL29" s="444"/>
      <c r="RM29" s="444"/>
      <c r="RN29" s="444"/>
      <c r="RO29" s="444"/>
      <c r="RP29" s="444"/>
      <c r="RQ29" s="444"/>
      <c r="RR29" s="444"/>
      <c r="RS29" s="444"/>
      <c r="RT29" s="444"/>
      <c r="RU29" s="444"/>
      <c r="RV29" s="444"/>
      <c r="RW29" s="444"/>
      <c r="RX29" s="444"/>
      <c r="RY29" s="444"/>
      <c r="RZ29" s="444"/>
      <c r="SA29" s="444"/>
      <c r="SB29" s="444"/>
      <c r="SC29" s="444"/>
      <c r="SD29" s="444"/>
      <c r="SE29" s="444"/>
      <c r="SF29" s="444"/>
      <c r="SG29" s="444"/>
      <c r="SH29" s="444"/>
      <c r="SI29" s="444"/>
      <c r="SJ29" s="444"/>
      <c r="SK29" s="444"/>
      <c r="SL29" s="444"/>
      <c r="SM29" s="444"/>
      <c r="SN29" s="444"/>
      <c r="SO29" s="444"/>
      <c r="SP29" s="444"/>
      <c r="SQ29" s="444"/>
      <c r="SR29" s="444"/>
      <c r="SS29" s="444"/>
      <c r="ST29" s="444"/>
      <c r="SU29" s="444"/>
      <c r="SV29" s="444"/>
      <c r="SW29" s="444"/>
      <c r="SX29" s="444"/>
      <c r="SY29" s="444"/>
      <c r="SZ29" s="444"/>
      <c r="TA29" s="444"/>
      <c r="TB29" s="444"/>
      <c r="TC29" s="444"/>
      <c r="TD29" s="444"/>
      <c r="TE29" s="444"/>
      <c r="TF29" s="444"/>
      <c r="TG29" s="444"/>
      <c r="TH29" s="444"/>
      <c r="TI29" s="444"/>
      <c r="TJ29" s="444"/>
      <c r="TK29" s="444"/>
      <c r="TL29" s="444"/>
      <c r="TM29" s="444"/>
      <c r="TN29" s="444"/>
      <c r="TO29" s="444"/>
      <c r="TP29" s="444"/>
      <c r="TQ29" s="444"/>
      <c r="TR29" s="444"/>
      <c r="TS29" s="444"/>
      <c r="TT29" s="444"/>
      <c r="TU29" s="444"/>
      <c r="TV29" s="444"/>
      <c r="TW29" s="444"/>
      <c r="TX29" s="444"/>
      <c r="TY29" s="444"/>
      <c r="TZ29" s="444"/>
      <c r="UA29" s="444"/>
      <c r="UB29" s="444"/>
      <c r="UC29" s="444"/>
      <c r="UD29" s="444"/>
      <c r="UE29" s="444"/>
      <c r="UF29" s="444"/>
      <c r="UG29" s="444"/>
      <c r="UH29" s="444"/>
      <c r="UI29" s="444"/>
      <c r="UJ29" s="444"/>
      <c r="UK29" s="444"/>
      <c r="UL29" s="444"/>
      <c r="UM29" s="444"/>
      <c r="UN29" s="444"/>
      <c r="UO29" s="444"/>
      <c r="UP29" s="444"/>
      <c r="UQ29" s="444"/>
      <c r="UR29" s="444"/>
      <c r="US29" s="444"/>
      <c r="UT29" s="444"/>
      <c r="UU29" s="444"/>
      <c r="UV29" s="444"/>
      <c r="UW29" s="444"/>
      <c r="UX29" s="444"/>
      <c r="UY29" s="444"/>
      <c r="UZ29" s="444"/>
      <c r="VA29" s="444"/>
      <c r="VB29" s="444"/>
      <c r="VC29" s="444"/>
      <c r="VD29" s="444"/>
      <c r="VE29" s="444"/>
      <c r="VF29" s="444"/>
      <c r="VG29" s="444"/>
      <c r="VH29" s="444"/>
      <c r="VI29" s="444"/>
      <c r="VJ29" s="444"/>
      <c r="VK29" s="444"/>
      <c r="VL29" s="444"/>
      <c r="VM29" s="444"/>
      <c r="VN29" s="444"/>
      <c r="VO29" s="444"/>
      <c r="VP29" s="444"/>
      <c r="VQ29" s="444"/>
      <c r="VR29" s="444"/>
      <c r="VS29" s="444"/>
      <c r="VT29" s="444"/>
      <c r="VU29" s="444"/>
      <c r="VV29" s="444"/>
      <c r="VW29" s="444"/>
      <c r="VX29" s="444"/>
      <c r="VY29" s="444"/>
      <c r="VZ29" s="444"/>
      <c r="WA29" s="444"/>
      <c r="WB29" s="444"/>
      <c r="WC29" s="444"/>
      <c r="WD29" s="444"/>
      <c r="WE29" s="444"/>
      <c r="WF29" s="444"/>
    </row>
    <row r="30" spans="1:604" s="498" customFormat="1" ht="63" x14ac:dyDescent="0.2">
      <c r="A30" s="486"/>
      <c r="B30" s="486"/>
      <c r="C30" s="440" t="s">
        <v>692</v>
      </c>
      <c r="D30" s="450" t="s">
        <v>192</v>
      </c>
      <c r="E30" s="435">
        <v>100980</v>
      </c>
      <c r="F30" s="442" t="s">
        <v>368</v>
      </c>
      <c r="G30" s="437">
        <f>'MC-DRE'!J22</f>
        <v>4.4000000000000004</v>
      </c>
      <c r="H30" s="438" t="s">
        <v>0</v>
      </c>
      <c r="I30" s="479">
        <v>6.33</v>
      </c>
      <c r="J30" s="439">
        <f t="shared" si="1"/>
        <v>8.07</v>
      </c>
      <c r="K30" s="476">
        <f t="shared" si="2"/>
        <v>35.51</v>
      </c>
      <c r="L30" s="478"/>
      <c r="M30" s="478"/>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c r="AP30" s="499"/>
      <c r="AQ30" s="499"/>
      <c r="AR30" s="499"/>
      <c r="AS30" s="499"/>
      <c r="AT30" s="499"/>
      <c r="AU30" s="499"/>
      <c r="AV30" s="499"/>
      <c r="AW30" s="499"/>
      <c r="AX30" s="499"/>
      <c r="AY30" s="499"/>
      <c r="AZ30" s="499"/>
      <c r="BA30" s="499"/>
      <c r="BB30" s="499"/>
      <c r="BC30" s="499"/>
      <c r="BD30" s="499"/>
      <c r="BE30" s="499"/>
      <c r="BF30" s="499"/>
      <c r="BG30" s="499"/>
      <c r="BH30" s="499"/>
      <c r="BI30" s="499"/>
      <c r="BJ30" s="499"/>
      <c r="BK30" s="499"/>
      <c r="BL30" s="499"/>
      <c r="BM30" s="499"/>
      <c r="BN30" s="499"/>
      <c r="BO30" s="499"/>
      <c r="BP30" s="499"/>
      <c r="BQ30" s="499"/>
      <c r="BR30" s="499"/>
      <c r="BS30" s="499"/>
      <c r="BT30" s="499"/>
      <c r="BU30" s="499"/>
      <c r="BV30" s="499"/>
      <c r="BW30" s="499"/>
      <c r="BX30" s="499"/>
      <c r="BY30" s="499"/>
      <c r="BZ30" s="499"/>
      <c r="CA30" s="499"/>
      <c r="CB30" s="499"/>
      <c r="CC30" s="499"/>
      <c r="CD30" s="499"/>
      <c r="CE30" s="499"/>
      <c r="CF30" s="499"/>
      <c r="CG30" s="499"/>
      <c r="CH30" s="499"/>
      <c r="CI30" s="499"/>
      <c r="CJ30" s="499"/>
      <c r="CK30" s="499"/>
      <c r="CL30" s="499"/>
      <c r="CM30" s="499"/>
      <c r="CN30" s="499"/>
      <c r="CO30" s="499"/>
      <c r="CP30" s="499"/>
      <c r="CQ30" s="499"/>
      <c r="CR30" s="499"/>
      <c r="CS30" s="499"/>
      <c r="CT30" s="499"/>
      <c r="CU30" s="499"/>
      <c r="CV30" s="499"/>
      <c r="CW30" s="499"/>
      <c r="CX30" s="499"/>
      <c r="CY30" s="499"/>
      <c r="CZ30" s="499"/>
      <c r="DA30" s="499"/>
      <c r="DB30" s="499"/>
      <c r="DC30" s="499"/>
      <c r="DD30" s="499"/>
      <c r="DE30" s="499"/>
      <c r="DF30" s="499"/>
      <c r="DG30" s="499"/>
      <c r="DH30" s="499"/>
      <c r="DI30" s="499"/>
      <c r="DJ30" s="499"/>
      <c r="DK30" s="499"/>
      <c r="DL30" s="499"/>
      <c r="DM30" s="499"/>
      <c r="DN30" s="499"/>
      <c r="DO30" s="499"/>
      <c r="DP30" s="499"/>
      <c r="DQ30" s="499"/>
      <c r="DR30" s="499"/>
      <c r="DS30" s="499"/>
      <c r="DT30" s="499"/>
      <c r="DU30" s="499"/>
      <c r="DV30" s="499"/>
      <c r="DW30" s="499"/>
      <c r="DX30" s="499"/>
      <c r="DY30" s="499"/>
      <c r="DZ30" s="499"/>
      <c r="EA30" s="499"/>
      <c r="EB30" s="499"/>
      <c r="EC30" s="499"/>
      <c r="ED30" s="499"/>
      <c r="EE30" s="499"/>
      <c r="EF30" s="499"/>
      <c r="EG30" s="499"/>
      <c r="EH30" s="499"/>
      <c r="EI30" s="499"/>
      <c r="EJ30" s="499"/>
      <c r="EK30" s="499"/>
      <c r="EL30" s="499"/>
      <c r="EM30" s="499"/>
      <c r="EN30" s="499"/>
      <c r="EO30" s="499"/>
      <c r="EP30" s="499"/>
      <c r="EQ30" s="499"/>
      <c r="ER30" s="499"/>
      <c r="ES30" s="499"/>
      <c r="ET30" s="499"/>
      <c r="EU30" s="499"/>
      <c r="EV30" s="499"/>
      <c r="EW30" s="499"/>
      <c r="EX30" s="499"/>
      <c r="EY30" s="499"/>
      <c r="EZ30" s="499"/>
      <c r="FA30" s="499"/>
      <c r="FB30" s="499"/>
      <c r="FC30" s="499"/>
      <c r="FD30" s="499"/>
      <c r="FE30" s="499"/>
      <c r="FF30" s="499"/>
      <c r="FG30" s="499"/>
      <c r="FH30" s="499"/>
      <c r="FI30" s="499"/>
      <c r="FJ30" s="499"/>
      <c r="FK30" s="499"/>
      <c r="FL30" s="499"/>
      <c r="FM30" s="499"/>
      <c r="FN30" s="499"/>
      <c r="FO30" s="499"/>
      <c r="FP30" s="499"/>
      <c r="FQ30" s="499"/>
      <c r="FR30" s="499"/>
      <c r="FS30" s="499"/>
      <c r="FT30" s="499"/>
      <c r="FU30" s="499"/>
      <c r="FV30" s="499"/>
      <c r="FW30" s="499"/>
      <c r="FX30" s="499"/>
      <c r="FY30" s="499"/>
      <c r="FZ30" s="499"/>
      <c r="GA30" s="499"/>
      <c r="GB30" s="499"/>
      <c r="GC30" s="499"/>
      <c r="GD30" s="499"/>
      <c r="GE30" s="499"/>
      <c r="GF30" s="499"/>
      <c r="GG30" s="499"/>
      <c r="GH30" s="499"/>
      <c r="GI30" s="499"/>
      <c r="GJ30" s="499"/>
      <c r="GK30" s="499"/>
      <c r="GL30" s="499"/>
      <c r="GM30" s="499"/>
      <c r="GN30" s="499"/>
      <c r="GO30" s="499"/>
      <c r="GP30" s="499"/>
      <c r="GQ30" s="499"/>
      <c r="GR30" s="499"/>
      <c r="GS30" s="499"/>
      <c r="GT30" s="499"/>
      <c r="GU30" s="499"/>
      <c r="GV30" s="499"/>
      <c r="GW30" s="499"/>
      <c r="GX30" s="499"/>
      <c r="GY30" s="499"/>
      <c r="GZ30" s="499"/>
      <c r="HA30" s="499"/>
      <c r="HB30" s="499"/>
      <c r="HC30" s="499"/>
      <c r="HD30" s="499"/>
      <c r="HE30" s="499"/>
      <c r="HF30" s="499"/>
      <c r="HG30" s="499"/>
      <c r="HH30" s="499"/>
      <c r="HI30" s="499"/>
      <c r="HJ30" s="499"/>
      <c r="HK30" s="499"/>
      <c r="HL30" s="499"/>
      <c r="HM30" s="499"/>
      <c r="HN30" s="499"/>
      <c r="HO30" s="499"/>
      <c r="HP30" s="499"/>
      <c r="HQ30" s="499"/>
      <c r="HR30" s="499"/>
      <c r="HS30" s="499"/>
      <c r="HT30" s="499"/>
      <c r="HU30" s="499"/>
      <c r="HV30" s="499"/>
      <c r="HW30" s="499"/>
      <c r="HX30" s="499"/>
      <c r="HY30" s="499"/>
      <c r="HZ30" s="499"/>
      <c r="IA30" s="499"/>
      <c r="IB30" s="499"/>
      <c r="IC30" s="499"/>
      <c r="ID30" s="499"/>
      <c r="IE30" s="499"/>
      <c r="IF30" s="499"/>
      <c r="IG30" s="499"/>
      <c r="IH30" s="499"/>
      <c r="II30" s="499"/>
      <c r="IJ30" s="499"/>
      <c r="IK30" s="499"/>
      <c r="IL30" s="499"/>
      <c r="IM30" s="499"/>
      <c r="IN30" s="499"/>
      <c r="IO30" s="499"/>
      <c r="IP30" s="499"/>
      <c r="IQ30" s="499"/>
      <c r="IR30" s="499"/>
      <c r="IS30" s="499"/>
      <c r="IT30" s="499"/>
      <c r="IU30" s="499"/>
      <c r="IV30" s="499"/>
      <c r="IW30" s="499"/>
      <c r="IX30" s="499"/>
      <c r="IY30" s="499"/>
      <c r="IZ30" s="499"/>
      <c r="JA30" s="499"/>
      <c r="JB30" s="499"/>
      <c r="JC30" s="499"/>
      <c r="JD30" s="499"/>
      <c r="JE30" s="499"/>
      <c r="JF30" s="499"/>
      <c r="JG30" s="499"/>
      <c r="JH30" s="499"/>
      <c r="JI30" s="499"/>
      <c r="JJ30" s="499"/>
      <c r="JK30" s="499"/>
      <c r="JL30" s="499"/>
      <c r="JM30" s="499"/>
      <c r="JN30" s="499"/>
      <c r="JO30" s="499"/>
      <c r="JP30" s="499"/>
      <c r="JQ30" s="499"/>
      <c r="JR30" s="499"/>
      <c r="JS30" s="499"/>
      <c r="JT30" s="499"/>
      <c r="JU30" s="499"/>
      <c r="JV30" s="499"/>
      <c r="JW30" s="499"/>
      <c r="JX30" s="499"/>
      <c r="JY30" s="499"/>
      <c r="JZ30" s="499"/>
      <c r="KA30" s="499"/>
      <c r="KB30" s="499"/>
      <c r="KC30" s="499"/>
      <c r="KD30" s="499"/>
      <c r="KE30" s="499"/>
      <c r="KF30" s="499"/>
      <c r="KG30" s="499"/>
      <c r="KH30" s="499"/>
      <c r="KI30" s="499"/>
      <c r="KJ30" s="499"/>
      <c r="KK30" s="499"/>
      <c r="KL30" s="499"/>
      <c r="KM30" s="499"/>
      <c r="KN30" s="499"/>
      <c r="KO30" s="499"/>
      <c r="KP30" s="499"/>
      <c r="KQ30" s="499"/>
      <c r="KR30" s="499"/>
      <c r="KS30" s="499"/>
      <c r="KT30" s="499"/>
      <c r="KU30" s="499"/>
      <c r="KV30" s="499"/>
      <c r="KW30" s="499"/>
      <c r="KX30" s="499"/>
      <c r="KY30" s="499"/>
      <c r="KZ30" s="499"/>
      <c r="LA30" s="499"/>
      <c r="LB30" s="499"/>
      <c r="LC30" s="499"/>
      <c r="LD30" s="499"/>
      <c r="LE30" s="499"/>
      <c r="LF30" s="499"/>
      <c r="LG30" s="499"/>
      <c r="LH30" s="499"/>
      <c r="LI30" s="499"/>
      <c r="LJ30" s="499"/>
      <c r="LK30" s="499"/>
      <c r="LL30" s="499"/>
      <c r="LM30" s="499"/>
      <c r="LN30" s="499"/>
      <c r="LO30" s="499"/>
      <c r="LP30" s="499"/>
      <c r="LQ30" s="499"/>
      <c r="LR30" s="499"/>
      <c r="LS30" s="499"/>
      <c r="LT30" s="499"/>
      <c r="LU30" s="499"/>
      <c r="LV30" s="499"/>
      <c r="LW30" s="499"/>
      <c r="LX30" s="499"/>
      <c r="LY30" s="499"/>
      <c r="LZ30" s="499"/>
      <c r="MA30" s="499"/>
      <c r="MB30" s="499"/>
      <c r="MC30" s="499"/>
      <c r="MD30" s="499"/>
      <c r="ME30" s="499"/>
      <c r="MF30" s="499"/>
      <c r="MG30" s="499"/>
      <c r="MH30" s="499"/>
      <c r="MI30" s="499"/>
      <c r="MJ30" s="499"/>
      <c r="MK30" s="499"/>
      <c r="ML30" s="499"/>
      <c r="MM30" s="499"/>
      <c r="MN30" s="499"/>
      <c r="MO30" s="499"/>
      <c r="MP30" s="499"/>
      <c r="MQ30" s="499"/>
      <c r="MR30" s="499"/>
      <c r="MS30" s="499"/>
      <c r="MT30" s="499"/>
      <c r="MU30" s="499"/>
      <c r="MV30" s="499"/>
      <c r="MW30" s="499"/>
      <c r="MX30" s="499"/>
      <c r="MY30" s="499"/>
      <c r="MZ30" s="499"/>
      <c r="NA30" s="499"/>
      <c r="NB30" s="499"/>
      <c r="NC30" s="499"/>
      <c r="ND30" s="499"/>
      <c r="NE30" s="499"/>
      <c r="NF30" s="499"/>
      <c r="NG30" s="499"/>
      <c r="NH30" s="499"/>
      <c r="NI30" s="499"/>
      <c r="NJ30" s="499"/>
      <c r="NK30" s="499"/>
      <c r="NL30" s="499"/>
      <c r="NM30" s="499"/>
      <c r="NN30" s="499"/>
      <c r="NO30" s="499"/>
      <c r="NP30" s="499"/>
      <c r="NQ30" s="499"/>
      <c r="NR30" s="499"/>
      <c r="NS30" s="499"/>
      <c r="NT30" s="499"/>
      <c r="NU30" s="499"/>
      <c r="NV30" s="499"/>
      <c r="NW30" s="499"/>
      <c r="NX30" s="499"/>
      <c r="NY30" s="499"/>
      <c r="NZ30" s="499"/>
      <c r="OA30" s="499"/>
      <c r="OB30" s="499"/>
      <c r="OC30" s="499"/>
      <c r="OD30" s="499"/>
      <c r="OE30" s="499"/>
      <c r="OF30" s="499"/>
      <c r="OG30" s="499"/>
      <c r="OH30" s="499"/>
      <c r="OI30" s="499"/>
      <c r="OJ30" s="499"/>
      <c r="OK30" s="499"/>
      <c r="OL30" s="499"/>
      <c r="OM30" s="499"/>
      <c r="ON30" s="499"/>
      <c r="OO30" s="499"/>
      <c r="OP30" s="499"/>
      <c r="OQ30" s="499"/>
      <c r="OR30" s="499"/>
      <c r="OS30" s="499"/>
      <c r="OT30" s="499"/>
      <c r="OU30" s="499"/>
      <c r="OV30" s="499"/>
      <c r="OW30" s="499"/>
      <c r="OX30" s="499"/>
      <c r="OY30" s="499"/>
      <c r="OZ30" s="499"/>
      <c r="PA30" s="499"/>
      <c r="PB30" s="499"/>
      <c r="PC30" s="499"/>
      <c r="PD30" s="499"/>
      <c r="PE30" s="499"/>
      <c r="PF30" s="499"/>
      <c r="PG30" s="499"/>
      <c r="PH30" s="499"/>
      <c r="PI30" s="499"/>
      <c r="PJ30" s="499"/>
      <c r="PK30" s="499"/>
      <c r="PL30" s="499"/>
      <c r="PM30" s="499"/>
      <c r="PN30" s="499"/>
      <c r="PO30" s="499"/>
      <c r="PP30" s="499"/>
      <c r="PQ30" s="499"/>
      <c r="PR30" s="499"/>
      <c r="PS30" s="499"/>
      <c r="PT30" s="499"/>
      <c r="PU30" s="499"/>
      <c r="PV30" s="499"/>
      <c r="PW30" s="499"/>
      <c r="PX30" s="499"/>
      <c r="PY30" s="499"/>
      <c r="PZ30" s="499"/>
      <c r="QA30" s="499"/>
      <c r="QB30" s="499"/>
      <c r="QC30" s="499"/>
      <c r="QD30" s="499"/>
      <c r="QE30" s="499"/>
      <c r="QF30" s="499"/>
      <c r="QG30" s="499"/>
      <c r="QH30" s="499"/>
      <c r="QI30" s="499"/>
      <c r="QJ30" s="499"/>
      <c r="QK30" s="499"/>
      <c r="QL30" s="499"/>
      <c r="QM30" s="499"/>
      <c r="QN30" s="499"/>
      <c r="QO30" s="499"/>
      <c r="QP30" s="499"/>
      <c r="QQ30" s="499"/>
      <c r="QR30" s="499"/>
      <c r="QS30" s="499"/>
      <c r="QT30" s="499"/>
      <c r="QU30" s="499"/>
      <c r="QV30" s="499"/>
      <c r="QW30" s="499"/>
      <c r="QX30" s="499"/>
      <c r="QY30" s="499"/>
      <c r="QZ30" s="499"/>
      <c r="RA30" s="499"/>
      <c r="RB30" s="499"/>
      <c r="RC30" s="499"/>
      <c r="RD30" s="499"/>
      <c r="RE30" s="499"/>
      <c r="RF30" s="499"/>
      <c r="RG30" s="499"/>
      <c r="RH30" s="499"/>
      <c r="RI30" s="499"/>
      <c r="RJ30" s="499"/>
      <c r="RK30" s="499"/>
      <c r="RL30" s="499"/>
      <c r="RM30" s="499"/>
      <c r="RN30" s="499"/>
      <c r="RO30" s="499"/>
      <c r="RP30" s="499"/>
      <c r="RQ30" s="499"/>
      <c r="RR30" s="499"/>
      <c r="RS30" s="499"/>
      <c r="RT30" s="499"/>
      <c r="RU30" s="499"/>
      <c r="RV30" s="499"/>
      <c r="RW30" s="499"/>
      <c r="RX30" s="499"/>
      <c r="RY30" s="499"/>
      <c r="RZ30" s="499"/>
      <c r="SA30" s="499"/>
      <c r="SB30" s="499"/>
      <c r="SC30" s="499"/>
      <c r="SD30" s="499"/>
      <c r="SE30" s="499"/>
      <c r="SF30" s="499"/>
      <c r="SG30" s="499"/>
      <c r="SH30" s="499"/>
      <c r="SI30" s="499"/>
      <c r="SJ30" s="499"/>
      <c r="SK30" s="499"/>
      <c r="SL30" s="499"/>
      <c r="SM30" s="499"/>
      <c r="SN30" s="499"/>
      <c r="SO30" s="499"/>
      <c r="SP30" s="499"/>
      <c r="SQ30" s="499"/>
      <c r="SR30" s="499"/>
      <c r="SS30" s="499"/>
      <c r="ST30" s="499"/>
      <c r="SU30" s="499"/>
      <c r="SV30" s="499"/>
      <c r="SW30" s="499"/>
      <c r="SX30" s="499"/>
      <c r="SY30" s="499"/>
      <c r="SZ30" s="499"/>
      <c r="TA30" s="499"/>
      <c r="TB30" s="499"/>
      <c r="TC30" s="499"/>
      <c r="TD30" s="499"/>
      <c r="TE30" s="499"/>
      <c r="TF30" s="499"/>
      <c r="TG30" s="499"/>
      <c r="TH30" s="499"/>
      <c r="TI30" s="499"/>
      <c r="TJ30" s="499"/>
      <c r="TK30" s="499"/>
      <c r="TL30" s="499"/>
      <c r="TM30" s="499"/>
      <c r="TN30" s="499"/>
      <c r="TO30" s="499"/>
      <c r="TP30" s="499"/>
      <c r="TQ30" s="499"/>
      <c r="TR30" s="499"/>
      <c r="TS30" s="499"/>
      <c r="TT30" s="499"/>
      <c r="TU30" s="499"/>
      <c r="TV30" s="499"/>
      <c r="TW30" s="499"/>
      <c r="TX30" s="499"/>
      <c r="TY30" s="499"/>
      <c r="TZ30" s="499"/>
      <c r="UA30" s="499"/>
      <c r="UB30" s="499"/>
      <c r="UC30" s="499"/>
      <c r="UD30" s="499"/>
      <c r="UE30" s="499"/>
      <c r="UF30" s="499"/>
      <c r="UG30" s="499"/>
      <c r="UH30" s="499"/>
      <c r="UI30" s="499"/>
      <c r="UJ30" s="499"/>
      <c r="UK30" s="499"/>
      <c r="UL30" s="499"/>
      <c r="UM30" s="499"/>
      <c r="UN30" s="499"/>
      <c r="UO30" s="499"/>
      <c r="UP30" s="499"/>
      <c r="UQ30" s="499"/>
      <c r="UR30" s="499"/>
      <c r="US30" s="499"/>
      <c r="UT30" s="499"/>
      <c r="UU30" s="499"/>
      <c r="UV30" s="499"/>
      <c r="UW30" s="499"/>
      <c r="UX30" s="499"/>
      <c r="UY30" s="499"/>
      <c r="UZ30" s="499"/>
      <c r="VA30" s="499"/>
      <c r="VB30" s="499"/>
      <c r="VC30" s="499"/>
      <c r="VD30" s="499"/>
      <c r="VE30" s="499"/>
      <c r="VF30" s="499"/>
      <c r="VG30" s="499"/>
      <c r="VH30" s="499"/>
      <c r="VI30" s="499"/>
      <c r="VJ30" s="499"/>
      <c r="VK30" s="499"/>
      <c r="VL30" s="499"/>
      <c r="VM30" s="499"/>
      <c r="VN30" s="499"/>
      <c r="VO30" s="499"/>
      <c r="VP30" s="499"/>
      <c r="VQ30" s="499"/>
      <c r="VR30" s="499"/>
      <c r="VS30" s="499"/>
      <c r="VT30" s="499"/>
      <c r="VU30" s="499"/>
      <c r="VV30" s="499"/>
      <c r="VW30" s="499"/>
      <c r="VX30" s="499"/>
      <c r="VY30" s="499"/>
      <c r="VZ30" s="499"/>
      <c r="WA30" s="499"/>
      <c r="WB30" s="499"/>
      <c r="WC30" s="499"/>
      <c r="WD30" s="499"/>
      <c r="WE30" s="499"/>
      <c r="WF30" s="499"/>
    </row>
    <row r="31" spans="1:604" s="498" customFormat="1" ht="45" customHeight="1" x14ac:dyDescent="0.2">
      <c r="A31" s="486"/>
      <c r="B31" s="486"/>
      <c r="C31" s="440" t="s">
        <v>693</v>
      </c>
      <c r="D31" s="440" t="s">
        <v>192</v>
      </c>
      <c r="E31" s="441" t="s">
        <v>369</v>
      </c>
      <c r="F31" s="442" t="s">
        <v>370</v>
      </c>
      <c r="G31" s="437">
        <f>'MC-DRE'!K22</f>
        <v>55</v>
      </c>
      <c r="H31" s="438" t="s">
        <v>245</v>
      </c>
      <c r="I31" s="479">
        <v>2.78</v>
      </c>
      <c r="J31" s="439">
        <f>ROUND(I31*(1+$J$9),2)</f>
        <v>3.54</v>
      </c>
      <c r="K31" s="476">
        <f>ROUND(J31*G31,2)</f>
        <v>194.7</v>
      </c>
      <c r="L31" s="478"/>
      <c r="M31" s="478"/>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c r="AP31" s="499"/>
      <c r="AQ31" s="499"/>
      <c r="AR31" s="499"/>
      <c r="AS31" s="499"/>
      <c r="AT31" s="499"/>
      <c r="AU31" s="499"/>
      <c r="AV31" s="499"/>
      <c r="AW31" s="499"/>
      <c r="AX31" s="499"/>
      <c r="AY31" s="499"/>
      <c r="AZ31" s="499"/>
      <c r="BA31" s="499"/>
      <c r="BB31" s="499"/>
      <c r="BC31" s="499"/>
      <c r="BD31" s="499"/>
      <c r="BE31" s="499"/>
      <c r="BF31" s="499"/>
      <c r="BG31" s="499"/>
      <c r="BH31" s="499"/>
      <c r="BI31" s="499"/>
      <c r="BJ31" s="499"/>
      <c r="BK31" s="499"/>
      <c r="BL31" s="499"/>
      <c r="BM31" s="499"/>
      <c r="BN31" s="499"/>
      <c r="BO31" s="499"/>
      <c r="BP31" s="499"/>
      <c r="BQ31" s="499"/>
      <c r="BR31" s="499"/>
      <c r="BS31" s="499"/>
      <c r="BT31" s="499"/>
      <c r="BU31" s="499"/>
      <c r="BV31" s="499"/>
      <c r="BW31" s="499"/>
      <c r="BX31" s="499"/>
      <c r="BY31" s="499"/>
      <c r="BZ31" s="499"/>
      <c r="CA31" s="499"/>
      <c r="CB31" s="499"/>
      <c r="CC31" s="499"/>
      <c r="CD31" s="499"/>
      <c r="CE31" s="499"/>
      <c r="CF31" s="499"/>
      <c r="CG31" s="499"/>
      <c r="CH31" s="499"/>
      <c r="CI31" s="499"/>
      <c r="CJ31" s="499"/>
      <c r="CK31" s="499"/>
      <c r="CL31" s="499"/>
      <c r="CM31" s="499"/>
      <c r="CN31" s="499"/>
      <c r="CO31" s="499"/>
      <c r="CP31" s="499"/>
      <c r="CQ31" s="499"/>
      <c r="CR31" s="499"/>
      <c r="CS31" s="499"/>
      <c r="CT31" s="499"/>
      <c r="CU31" s="499"/>
      <c r="CV31" s="499"/>
      <c r="CW31" s="499"/>
      <c r="CX31" s="499"/>
      <c r="CY31" s="499"/>
      <c r="CZ31" s="499"/>
      <c r="DA31" s="499"/>
      <c r="DB31" s="499"/>
      <c r="DC31" s="499"/>
      <c r="DD31" s="499"/>
      <c r="DE31" s="499"/>
      <c r="DF31" s="499"/>
      <c r="DG31" s="499"/>
      <c r="DH31" s="499"/>
      <c r="DI31" s="499"/>
      <c r="DJ31" s="499"/>
      <c r="DK31" s="499"/>
      <c r="DL31" s="499"/>
      <c r="DM31" s="499"/>
      <c r="DN31" s="499"/>
      <c r="DO31" s="499"/>
      <c r="DP31" s="499"/>
      <c r="DQ31" s="499"/>
      <c r="DR31" s="499"/>
      <c r="DS31" s="499"/>
      <c r="DT31" s="499"/>
      <c r="DU31" s="499"/>
      <c r="DV31" s="499"/>
      <c r="DW31" s="499"/>
      <c r="DX31" s="499"/>
      <c r="DY31" s="499"/>
      <c r="DZ31" s="499"/>
      <c r="EA31" s="499"/>
      <c r="EB31" s="499"/>
      <c r="EC31" s="499"/>
      <c r="ED31" s="499"/>
      <c r="EE31" s="499"/>
      <c r="EF31" s="499"/>
      <c r="EG31" s="499"/>
      <c r="EH31" s="499"/>
      <c r="EI31" s="499"/>
      <c r="EJ31" s="499"/>
      <c r="EK31" s="499"/>
      <c r="EL31" s="499"/>
      <c r="EM31" s="499"/>
      <c r="EN31" s="499"/>
      <c r="EO31" s="499"/>
      <c r="EP31" s="499"/>
      <c r="EQ31" s="499"/>
      <c r="ER31" s="499"/>
      <c r="ES31" s="499"/>
      <c r="ET31" s="499"/>
      <c r="EU31" s="499"/>
      <c r="EV31" s="499"/>
      <c r="EW31" s="499"/>
      <c r="EX31" s="499"/>
      <c r="EY31" s="499"/>
      <c r="EZ31" s="499"/>
      <c r="FA31" s="499"/>
      <c r="FB31" s="499"/>
      <c r="FC31" s="499"/>
      <c r="FD31" s="499"/>
      <c r="FE31" s="499"/>
      <c r="FF31" s="499"/>
      <c r="FG31" s="499"/>
      <c r="FH31" s="499"/>
      <c r="FI31" s="499"/>
      <c r="FJ31" s="499"/>
      <c r="FK31" s="499"/>
      <c r="FL31" s="499"/>
      <c r="FM31" s="499"/>
      <c r="FN31" s="499"/>
      <c r="FO31" s="499"/>
      <c r="FP31" s="499"/>
      <c r="FQ31" s="499"/>
      <c r="FR31" s="499"/>
      <c r="FS31" s="499"/>
      <c r="FT31" s="499"/>
      <c r="FU31" s="499"/>
      <c r="FV31" s="499"/>
      <c r="FW31" s="499"/>
      <c r="FX31" s="499"/>
      <c r="FY31" s="499"/>
      <c r="FZ31" s="499"/>
      <c r="GA31" s="499"/>
      <c r="GB31" s="499"/>
      <c r="GC31" s="499"/>
      <c r="GD31" s="499"/>
      <c r="GE31" s="499"/>
      <c r="GF31" s="499"/>
      <c r="GG31" s="499"/>
      <c r="GH31" s="499"/>
      <c r="GI31" s="499"/>
      <c r="GJ31" s="499"/>
      <c r="GK31" s="499"/>
      <c r="GL31" s="499"/>
      <c r="GM31" s="499"/>
      <c r="GN31" s="499"/>
      <c r="GO31" s="499"/>
      <c r="GP31" s="499"/>
      <c r="GQ31" s="499"/>
      <c r="GR31" s="499"/>
      <c r="GS31" s="499"/>
      <c r="GT31" s="499"/>
      <c r="GU31" s="499"/>
      <c r="GV31" s="499"/>
      <c r="GW31" s="499"/>
      <c r="GX31" s="499"/>
      <c r="GY31" s="499"/>
      <c r="GZ31" s="499"/>
      <c r="HA31" s="499"/>
      <c r="HB31" s="499"/>
      <c r="HC31" s="499"/>
      <c r="HD31" s="499"/>
      <c r="HE31" s="499"/>
      <c r="HF31" s="499"/>
      <c r="HG31" s="499"/>
      <c r="HH31" s="499"/>
      <c r="HI31" s="499"/>
      <c r="HJ31" s="499"/>
      <c r="HK31" s="499"/>
      <c r="HL31" s="499"/>
      <c r="HM31" s="499"/>
      <c r="HN31" s="499"/>
      <c r="HO31" s="499"/>
      <c r="HP31" s="499"/>
      <c r="HQ31" s="499"/>
      <c r="HR31" s="499"/>
      <c r="HS31" s="499"/>
      <c r="HT31" s="499"/>
      <c r="HU31" s="499"/>
      <c r="HV31" s="499"/>
      <c r="HW31" s="499"/>
      <c r="HX31" s="499"/>
      <c r="HY31" s="499"/>
      <c r="HZ31" s="499"/>
      <c r="IA31" s="499"/>
      <c r="IB31" s="499"/>
      <c r="IC31" s="499"/>
      <c r="ID31" s="499"/>
      <c r="IE31" s="499"/>
      <c r="IF31" s="499"/>
      <c r="IG31" s="499"/>
      <c r="IH31" s="499"/>
      <c r="II31" s="499"/>
      <c r="IJ31" s="499"/>
      <c r="IK31" s="499"/>
      <c r="IL31" s="499"/>
      <c r="IM31" s="499"/>
      <c r="IN31" s="499"/>
      <c r="IO31" s="499"/>
      <c r="IP31" s="499"/>
      <c r="IQ31" s="499"/>
      <c r="IR31" s="499"/>
      <c r="IS31" s="499"/>
      <c r="IT31" s="499"/>
      <c r="IU31" s="499"/>
      <c r="IV31" s="499"/>
      <c r="IW31" s="499"/>
      <c r="IX31" s="499"/>
      <c r="IY31" s="499"/>
      <c r="IZ31" s="499"/>
      <c r="JA31" s="499"/>
      <c r="JB31" s="499"/>
      <c r="JC31" s="499"/>
      <c r="JD31" s="499"/>
      <c r="JE31" s="499"/>
      <c r="JF31" s="499"/>
      <c r="JG31" s="499"/>
      <c r="JH31" s="499"/>
      <c r="JI31" s="499"/>
      <c r="JJ31" s="499"/>
      <c r="JK31" s="499"/>
      <c r="JL31" s="499"/>
      <c r="JM31" s="499"/>
      <c r="JN31" s="499"/>
      <c r="JO31" s="499"/>
      <c r="JP31" s="499"/>
      <c r="JQ31" s="499"/>
      <c r="JR31" s="499"/>
      <c r="JS31" s="499"/>
      <c r="JT31" s="499"/>
      <c r="JU31" s="499"/>
      <c r="JV31" s="499"/>
      <c r="JW31" s="499"/>
      <c r="JX31" s="499"/>
      <c r="JY31" s="499"/>
      <c r="JZ31" s="499"/>
      <c r="KA31" s="499"/>
      <c r="KB31" s="499"/>
      <c r="KC31" s="499"/>
      <c r="KD31" s="499"/>
      <c r="KE31" s="499"/>
      <c r="KF31" s="499"/>
      <c r="KG31" s="499"/>
      <c r="KH31" s="499"/>
      <c r="KI31" s="499"/>
      <c r="KJ31" s="499"/>
      <c r="KK31" s="499"/>
      <c r="KL31" s="499"/>
      <c r="KM31" s="499"/>
      <c r="KN31" s="499"/>
      <c r="KO31" s="499"/>
      <c r="KP31" s="499"/>
      <c r="KQ31" s="499"/>
      <c r="KR31" s="499"/>
      <c r="KS31" s="499"/>
      <c r="KT31" s="499"/>
      <c r="KU31" s="499"/>
      <c r="KV31" s="499"/>
      <c r="KW31" s="499"/>
      <c r="KX31" s="499"/>
      <c r="KY31" s="499"/>
      <c r="KZ31" s="499"/>
      <c r="LA31" s="499"/>
      <c r="LB31" s="499"/>
      <c r="LC31" s="499"/>
      <c r="LD31" s="499"/>
      <c r="LE31" s="499"/>
      <c r="LF31" s="499"/>
      <c r="LG31" s="499"/>
      <c r="LH31" s="499"/>
      <c r="LI31" s="499"/>
      <c r="LJ31" s="499"/>
      <c r="LK31" s="499"/>
      <c r="LL31" s="499"/>
      <c r="LM31" s="499"/>
      <c r="LN31" s="499"/>
      <c r="LO31" s="499"/>
      <c r="LP31" s="499"/>
      <c r="LQ31" s="499"/>
      <c r="LR31" s="499"/>
      <c r="LS31" s="499"/>
      <c r="LT31" s="499"/>
      <c r="LU31" s="499"/>
      <c r="LV31" s="499"/>
      <c r="LW31" s="499"/>
      <c r="LX31" s="499"/>
      <c r="LY31" s="499"/>
      <c r="LZ31" s="499"/>
      <c r="MA31" s="499"/>
      <c r="MB31" s="499"/>
      <c r="MC31" s="499"/>
      <c r="MD31" s="499"/>
      <c r="ME31" s="499"/>
      <c r="MF31" s="499"/>
      <c r="MG31" s="499"/>
      <c r="MH31" s="499"/>
      <c r="MI31" s="499"/>
      <c r="MJ31" s="499"/>
      <c r="MK31" s="499"/>
      <c r="ML31" s="499"/>
      <c r="MM31" s="499"/>
      <c r="MN31" s="499"/>
      <c r="MO31" s="499"/>
      <c r="MP31" s="499"/>
      <c r="MQ31" s="499"/>
      <c r="MR31" s="499"/>
      <c r="MS31" s="499"/>
      <c r="MT31" s="499"/>
      <c r="MU31" s="499"/>
      <c r="MV31" s="499"/>
      <c r="MW31" s="499"/>
      <c r="MX31" s="499"/>
      <c r="MY31" s="499"/>
      <c r="MZ31" s="499"/>
      <c r="NA31" s="499"/>
      <c r="NB31" s="499"/>
      <c r="NC31" s="499"/>
      <c r="ND31" s="499"/>
      <c r="NE31" s="499"/>
      <c r="NF31" s="499"/>
      <c r="NG31" s="499"/>
      <c r="NH31" s="499"/>
      <c r="NI31" s="499"/>
      <c r="NJ31" s="499"/>
      <c r="NK31" s="499"/>
      <c r="NL31" s="499"/>
      <c r="NM31" s="499"/>
      <c r="NN31" s="499"/>
      <c r="NO31" s="499"/>
      <c r="NP31" s="499"/>
      <c r="NQ31" s="499"/>
      <c r="NR31" s="499"/>
      <c r="NS31" s="499"/>
      <c r="NT31" s="499"/>
      <c r="NU31" s="499"/>
      <c r="NV31" s="499"/>
      <c r="NW31" s="499"/>
      <c r="NX31" s="499"/>
      <c r="NY31" s="499"/>
      <c r="NZ31" s="499"/>
      <c r="OA31" s="499"/>
      <c r="OB31" s="499"/>
      <c r="OC31" s="499"/>
      <c r="OD31" s="499"/>
      <c r="OE31" s="499"/>
      <c r="OF31" s="499"/>
      <c r="OG31" s="499"/>
      <c r="OH31" s="499"/>
      <c r="OI31" s="499"/>
      <c r="OJ31" s="499"/>
      <c r="OK31" s="499"/>
      <c r="OL31" s="499"/>
      <c r="OM31" s="499"/>
      <c r="ON31" s="499"/>
      <c r="OO31" s="499"/>
      <c r="OP31" s="499"/>
      <c r="OQ31" s="499"/>
      <c r="OR31" s="499"/>
      <c r="OS31" s="499"/>
      <c r="OT31" s="499"/>
      <c r="OU31" s="499"/>
      <c r="OV31" s="499"/>
      <c r="OW31" s="499"/>
      <c r="OX31" s="499"/>
      <c r="OY31" s="499"/>
      <c r="OZ31" s="499"/>
      <c r="PA31" s="499"/>
      <c r="PB31" s="499"/>
      <c r="PC31" s="499"/>
      <c r="PD31" s="499"/>
      <c r="PE31" s="499"/>
      <c r="PF31" s="499"/>
      <c r="PG31" s="499"/>
      <c r="PH31" s="499"/>
      <c r="PI31" s="499"/>
      <c r="PJ31" s="499"/>
      <c r="PK31" s="499"/>
      <c r="PL31" s="499"/>
      <c r="PM31" s="499"/>
      <c r="PN31" s="499"/>
      <c r="PO31" s="499"/>
      <c r="PP31" s="499"/>
      <c r="PQ31" s="499"/>
      <c r="PR31" s="499"/>
      <c r="PS31" s="499"/>
      <c r="PT31" s="499"/>
      <c r="PU31" s="499"/>
      <c r="PV31" s="499"/>
      <c r="PW31" s="499"/>
      <c r="PX31" s="499"/>
      <c r="PY31" s="499"/>
      <c r="PZ31" s="499"/>
      <c r="QA31" s="499"/>
      <c r="QB31" s="499"/>
      <c r="QC31" s="499"/>
      <c r="QD31" s="499"/>
      <c r="QE31" s="499"/>
      <c r="QF31" s="499"/>
      <c r="QG31" s="499"/>
      <c r="QH31" s="499"/>
      <c r="QI31" s="499"/>
      <c r="QJ31" s="499"/>
      <c r="QK31" s="499"/>
      <c r="QL31" s="499"/>
      <c r="QM31" s="499"/>
      <c r="QN31" s="499"/>
      <c r="QO31" s="499"/>
      <c r="QP31" s="499"/>
      <c r="QQ31" s="499"/>
      <c r="QR31" s="499"/>
      <c r="QS31" s="499"/>
      <c r="QT31" s="499"/>
      <c r="QU31" s="499"/>
      <c r="QV31" s="499"/>
      <c r="QW31" s="499"/>
      <c r="QX31" s="499"/>
      <c r="QY31" s="499"/>
      <c r="QZ31" s="499"/>
      <c r="RA31" s="499"/>
      <c r="RB31" s="499"/>
      <c r="RC31" s="499"/>
      <c r="RD31" s="499"/>
      <c r="RE31" s="499"/>
      <c r="RF31" s="499"/>
      <c r="RG31" s="499"/>
      <c r="RH31" s="499"/>
      <c r="RI31" s="499"/>
      <c r="RJ31" s="499"/>
      <c r="RK31" s="499"/>
      <c r="RL31" s="499"/>
      <c r="RM31" s="499"/>
      <c r="RN31" s="499"/>
      <c r="RO31" s="499"/>
      <c r="RP31" s="499"/>
      <c r="RQ31" s="499"/>
      <c r="RR31" s="499"/>
      <c r="RS31" s="499"/>
      <c r="RT31" s="499"/>
      <c r="RU31" s="499"/>
      <c r="RV31" s="499"/>
      <c r="RW31" s="499"/>
      <c r="RX31" s="499"/>
      <c r="RY31" s="499"/>
      <c r="RZ31" s="499"/>
      <c r="SA31" s="499"/>
      <c r="SB31" s="499"/>
      <c r="SC31" s="499"/>
      <c r="SD31" s="499"/>
      <c r="SE31" s="499"/>
      <c r="SF31" s="499"/>
      <c r="SG31" s="499"/>
      <c r="SH31" s="499"/>
      <c r="SI31" s="499"/>
      <c r="SJ31" s="499"/>
      <c r="SK31" s="499"/>
      <c r="SL31" s="499"/>
      <c r="SM31" s="499"/>
      <c r="SN31" s="499"/>
      <c r="SO31" s="499"/>
      <c r="SP31" s="499"/>
      <c r="SQ31" s="499"/>
      <c r="SR31" s="499"/>
      <c r="SS31" s="499"/>
      <c r="ST31" s="499"/>
      <c r="SU31" s="499"/>
      <c r="SV31" s="499"/>
      <c r="SW31" s="499"/>
      <c r="SX31" s="499"/>
      <c r="SY31" s="499"/>
      <c r="SZ31" s="499"/>
      <c r="TA31" s="499"/>
      <c r="TB31" s="499"/>
      <c r="TC31" s="499"/>
      <c r="TD31" s="499"/>
      <c r="TE31" s="499"/>
      <c r="TF31" s="499"/>
      <c r="TG31" s="499"/>
      <c r="TH31" s="499"/>
      <c r="TI31" s="499"/>
      <c r="TJ31" s="499"/>
      <c r="TK31" s="499"/>
      <c r="TL31" s="499"/>
      <c r="TM31" s="499"/>
      <c r="TN31" s="499"/>
      <c r="TO31" s="499"/>
      <c r="TP31" s="499"/>
      <c r="TQ31" s="499"/>
      <c r="TR31" s="499"/>
      <c r="TS31" s="499"/>
      <c r="TT31" s="499"/>
      <c r="TU31" s="499"/>
      <c r="TV31" s="499"/>
      <c r="TW31" s="499"/>
      <c r="TX31" s="499"/>
      <c r="TY31" s="499"/>
      <c r="TZ31" s="499"/>
      <c r="UA31" s="499"/>
      <c r="UB31" s="499"/>
      <c r="UC31" s="499"/>
      <c r="UD31" s="499"/>
      <c r="UE31" s="499"/>
      <c r="UF31" s="499"/>
      <c r="UG31" s="499"/>
      <c r="UH31" s="499"/>
      <c r="UI31" s="499"/>
      <c r="UJ31" s="499"/>
      <c r="UK31" s="499"/>
      <c r="UL31" s="499"/>
      <c r="UM31" s="499"/>
      <c r="UN31" s="499"/>
      <c r="UO31" s="499"/>
      <c r="UP31" s="499"/>
      <c r="UQ31" s="499"/>
      <c r="UR31" s="499"/>
      <c r="US31" s="499"/>
      <c r="UT31" s="499"/>
      <c r="UU31" s="499"/>
      <c r="UV31" s="499"/>
      <c r="UW31" s="499"/>
      <c r="UX31" s="499"/>
      <c r="UY31" s="499"/>
      <c r="UZ31" s="499"/>
      <c r="VA31" s="499"/>
      <c r="VB31" s="499"/>
      <c r="VC31" s="499"/>
      <c r="VD31" s="499"/>
      <c r="VE31" s="499"/>
      <c r="VF31" s="499"/>
      <c r="VG31" s="499"/>
      <c r="VH31" s="499"/>
      <c r="VI31" s="499"/>
      <c r="VJ31" s="499"/>
      <c r="VK31" s="499"/>
      <c r="VL31" s="499"/>
      <c r="VM31" s="499"/>
      <c r="VN31" s="499"/>
      <c r="VO31" s="499"/>
      <c r="VP31" s="499"/>
      <c r="VQ31" s="499"/>
      <c r="VR31" s="499"/>
      <c r="VS31" s="499"/>
      <c r="VT31" s="499"/>
      <c r="VU31" s="499"/>
      <c r="VV31" s="499"/>
      <c r="VW31" s="499"/>
      <c r="VX31" s="499"/>
      <c r="VY31" s="499"/>
      <c r="VZ31" s="499"/>
      <c r="WA31" s="499"/>
      <c r="WB31" s="499"/>
      <c r="WC31" s="499"/>
      <c r="WD31" s="499"/>
      <c r="WE31" s="499"/>
      <c r="WF31" s="499"/>
    </row>
    <row r="32" spans="1:604" s="498" customFormat="1" ht="45" customHeight="1" x14ac:dyDescent="0.2">
      <c r="A32" s="486"/>
      <c r="B32" s="486"/>
      <c r="C32" s="440" t="s">
        <v>694</v>
      </c>
      <c r="D32" s="450" t="s">
        <v>192</v>
      </c>
      <c r="E32" s="435">
        <v>101616</v>
      </c>
      <c r="F32" s="445" t="s">
        <v>240</v>
      </c>
      <c r="G32" s="437">
        <f>'MC-DRE'!L22</f>
        <v>34.299999999999997</v>
      </c>
      <c r="H32" s="438" t="s">
        <v>2</v>
      </c>
      <c r="I32" s="479">
        <v>5.51</v>
      </c>
      <c r="J32" s="439">
        <f t="shared" si="1"/>
        <v>7.02</v>
      </c>
      <c r="K32" s="476">
        <f t="shared" si="2"/>
        <v>240.79</v>
      </c>
      <c r="L32" s="478"/>
      <c r="M32" s="478"/>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499"/>
      <c r="AL32" s="499"/>
      <c r="AM32" s="499"/>
      <c r="AN32" s="499"/>
      <c r="AO32" s="499"/>
      <c r="AP32" s="499"/>
      <c r="AQ32" s="499"/>
      <c r="AR32" s="499"/>
      <c r="AS32" s="499"/>
      <c r="AT32" s="499"/>
      <c r="AU32" s="499"/>
      <c r="AV32" s="499"/>
      <c r="AW32" s="499"/>
      <c r="AX32" s="499"/>
      <c r="AY32" s="499"/>
      <c r="AZ32" s="499"/>
      <c r="BA32" s="499"/>
      <c r="BB32" s="499"/>
      <c r="BC32" s="499"/>
      <c r="BD32" s="499"/>
      <c r="BE32" s="499"/>
      <c r="BF32" s="499"/>
      <c r="BG32" s="499"/>
      <c r="BH32" s="499"/>
      <c r="BI32" s="499"/>
      <c r="BJ32" s="499"/>
      <c r="BK32" s="499"/>
      <c r="BL32" s="499"/>
      <c r="BM32" s="499"/>
      <c r="BN32" s="499"/>
      <c r="BO32" s="499"/>
      <c r="BP32" s="499"/>
      <c r="BQ32" s="499"/>
      <c r="BR32" s="499"/>
      <c r="BS32" s="499"/>
      <c r="BT32" s="499"/>
      <c r="BU32" s="499"/>
      <c r="BV32" s="499"/>
      <c r="BW32" s="499"/>
      <c r="BX32" s="499"/>
      <c r="BY32" s="499"/>
      <c r="BZ32" s="499"/>
      <c r="CA32" s="499"/>
      <c r="CB32" s="499"/>
      <c r="CC32" s="499"/>
      <c r="CD32" s="499"/>
      <c r="CE32" s="499"/>
      <c r="CF32" s="499"/>
      <c r="CG32" s="499"/>
      <c r="CH32" s="499"/>
      <c r="CI32" s="499"/>
      <c r="CJ32" s="499"/>
      <c r="CK32" s="499"/>
      <c r="CL32" s="499"/>
      <c r="CM32" s="499"/>
      <c r="CN32" s="499"/>
      <c r="CO32" s="499"/>
      <c r="CP32" s="499"/>
      <c r="CQ32" s="499"/>
      <c r="CR32" s="499"/>
      <c r="CS32" s="499"/>
      <c r="CT32" s="499"/>
      <c r="CU32" s="499"/>
      <c r="CV32" s="499"/>
      <c r="CW32" s="499"/>
      <c r="CX32" s="499"/>
      <c r="CY32" s="499"/>
      <c r="CZ32" s="499"/>
      <c r="DA32" s="499"/>
      <c r="DB32" s="499"/>
      <c r="DC32" s="499"/>
      <c r="DD32" s="499"/>
      <c r="DE32" s="499"/>
      <c r="DF32" s="499"/>
      <c r="DG32" s="499"/>
      <c r="DH32" s="499"/>
      <c r="DI32" s="499"/>
      <c r="DJ32" s="499"/>
      <c r="DK32" s="499"/>
      <c r="DL32" s="499"/>
      <c r="DM32" s="499"/>
      <c r="DN32" s="499"/>
      <c r="DO32" s="499"/>
      <c r="DP32" s="499"/>
      <c r="DQ32" s="499"/>
      <c r="DR32" s="499"/>
      <c r="DS32" s="499"/>
      <c r="DT32" s="499"/>
      <c r="DU32" s="499"/>
      <c r="DV32" s="499"/>
      <c r="DW32" s="499"/>
      <c r="DX32" s="499"/>
      <c r="DY32" s="499"/>
      <c r="DZ32" s="499"/>
      <c r="EA32" s="499"/>
      <c r="EB32" s="499"/>
      <c r="EC32" s="499"/>
      <c r="ED32" s="499"/>
      <c r="EE32" s="499"/>
      <c r="EF32" s="499"/>
      <c r="EG32" s="499"/>
      <c r="EH32" s="499"/>
      <c r="EI32" s="499"/>
      <c r="EJ32" s="499"/>
      <c r="EK32" s="499"/>
      <c r="EL32" s="499"/>
      <c r="EM32" s="499"/>
      <c r="EN32" s="499"/>
      <c r="EO32" s="499"/>
      <c r="EP32" s="499"/>
      <c r="EQ32" s="499"/>
      <c r="ER32" s="499"/>
      <c r="ES32" s="499"/>
      <c r="ET32" s="499"/>
      <c r="EU32" s="499"/>
      <c r="EV32" s="499"/>
      <c r="EW32" s="499"/>
      <c r="EX32" s="499"/>
      <c r="EY32" s="499"/>
      <c r="EZ32" s="499"/>
      <c r="FA32" s="499"/>
      <c r="FB32" s="499"/>
      <c r="FC32" s="499"/>
      <c r="FD32" s="499"/>
      <c r="FE32" s="499"/>
      <c r="FF32" s="499"/>
      <c r="FG32" s="499"/>
      <c r="FH32" s="499"/>
      <c r="FI32" s="499"/>
      <c r="FJ32" s="499"/>
      <c r="FK32" s="499"/>
      <c r="FL32" s="499"/>
      <c r="FM32" s="499"/>
      <c r="FN32" s="499"/>
      <c r="FO32" s="499"/>
      <c r="FP32" s="499"/>
      <c r="FQ32" s="499"/>
      <c r="FR32" s="499"/>
      <c r="FS32" s="499"/>
      <c r="FT32" s="499"/>
      <c r="FU32" s="499"/>
      <c r="FV32" s="499"/>
      <c r="FW32" s="499"/>
      <c r="FX32" s="499"/>
      <c r="FY32" s="499"/>
      <c r="FZ32" s="499"/>
      <c r="GA32" s="499"/>
      <c r="GB32" s="499"/>
      <c r="GC32" s="499"/>
      <c r="GD32" s="499"/>
      <c r="GE32" s="499"/>
      <c r="GF32" s="499"/>
      <c r="GG32" s="499"/>
      <c r="GH32" s="499"/>
      <c r="GI32" s="499"/>
      <c r="GJ32" s="499"/>
      <c r="GK32" s="499"/>
      <c r="GL32" s="499"/>
      <c r="GM32" s="499"/>
      <c r="GN32" s="499"/>
      <c r="GO32" s="499"/>
      <c r="GP32" s="499"/>
      <c r="GQ32" s="499"/>
      <c r="GR32" s="499"/>
      <c r="GS32" s="499"/>
      <c r="GT32" s="499"/>
      <c r="GU32" s="499"/>
      <c r="GV32" s="499"/>
      <c r="GW32" s="499"/>
      <c r="GX32" s="499"/>
      <c r="GY32" s="499"/>
      <c r="GZ32" s="499"/>
      <c r="HA32" s="499"/>
      <c r="HB32" s="499"/>
      <c r="HC32" s="499"/>
      <c r="HD32" s="499"/>
      <c r="HE32" s="499"/>
      <c r="HF32" s="499"/>
      <c r="HG32" s="499"/>
      <c r="HH32" s="499"/>
      <c r="HI32" s="499"/>
      <c r="HJ32" s="499"/>
      <c r="HK32" s="499"/>
      <c r="HL32" s="499"/>
      <c r="HM32" s="499"/>
      <c r="HN32" s="499"/>
      <c r="HO32" s="499"/>
      <c r="HP32" s="499"/>
      <c r="HQ32" s="499"/>
      <c r="HR32" s="499"/>
      <c r="HS32" s="499"/>
      <c r="HT32" s="499"/>
      <c r="HU32" s="499"/>
      <c r="HV32" s="499"/>
      <c r="HW32" s="499"/>
      <c r="HX32" s="499"/>
      <c r="HY32" s="499"/>
      <c r="HZ32" s="499"/>
      <c r="IA32" s="499"/>
      <c r="IB32" s="499"/>
      <c r="IC32" s="499"/>
      <c r="ID32" s="499"/>
      <c r="IE32" s="499"/>
      <c r="IF32" s="499"/>
      <c r="IG32" s="499"/>
      <c r="IH32" s="499"/>
      <c r="II32" s="499"/>
      <c r="IJ32" s="499"/>
      <c r="IK32" s="499"/>
      <c r="IL32" s="499"/>
      <c r="IM32" s="499"/>
      <c r="IN32" s="499"/>
      <c r="IO32" s="499"/>
      <c r="IP32" s="499"/>
      <c r="IQ32" s="499"/>
      <c r="IR32" s="499"/>
      <c r="IS32" s="499"/>
      <c r="IT32" s="499"/>
      <c r="IU32" s="499"/>
      <c r="IV32" s="499"/>
      <c r="IW32" s="499"/>
      <c r="IX32" s="499"/>
      <c r="IY32" s="499"/>
      <c r="IZ32" s="499"/>
      <c r="JA32" s="499"/>
      <c r="JB32" s="499"/>
      <c r="JC32" s="499"/>
      <c r="JD32" s="499"/>
      <c r="JE32" s="499"/>
      <c r="JF32" s="499"/>
      <c r="JG32" s="499"/>
      <c r="JH32" s="499"/>
      <c r="JI32" s="499"/>
      <c r="JJ32" s="499"/>
      <c r="JK32" s="499"/>
      <c r="JL32" s="499"/>
      <c r="JM32" s="499"/>
      <c r="JN32" s="499"/>
      <c r="JO32" s="499"/>
      <c r="JP32" s="499"/>
      <c r="JQ32" s="499"/>
      <c r="JR32" s="499"/>
      <c r="JS32" s="499"/>
      <c r="JT32" s="499"/>
      <c r="JU32" s="499"/>
      <c r="JV32" s="499"/>
      <c r="JW32" s="499"/>
      <c r="JX32" s="499"/>
      <c r="JY32" s="499"/>
      <c r="JZ32" s="499"/>
      <c r="KA32" s="499"/>
      <c r="KB32" s="499"/>
      <c r="KC32" s="499"/>
      <c r="KD32" s="499"/>
      <c r="KE32" s="499"/>
      <c r="KF32" s="499"/>
      <c r="KG32" s="499"/>
      <c r="KH32" s="499"/>
      <c r="KI32" s="499"/>
      <c r="KJ32" s="499"/>
      <c r="KK32" s="499"/>
      <c r="KL32" s="499"/>
      <c r="KM32" s="499"/>
      <c r="KN32" s="499"/>
      <c r="KO32" s="499"/>
      <c r="KP32" s="499"/>
      <c r="KQ32" s="499"/>
      <c r="KR32" s="499"/>
      <c r="KS32" s="499"/>
      <c r="KT32" s="499"/>
      <c r="KU32" s="499"/>
      <c r="KV32" s="499"/>
      <c r="KW32" s="499"/>
      <c r="KX32" s="499"/>
      <c r="KY32" s="499"/>
      <c r="KZ32" s="499"/>
      <c r="LA32" s="499"/>
      <c r="LB32" s="499"/>
      <c r="LC32" s="499"/>
      <c r="LD32" s="499"/>
      <c r="LE32" s="499"/>
      <c r="LF32" s="499"/>
      <c r="LG32" s="499"/>
      <c r="LH32" s="499"/>
      <c r="LI32" s="499"/>
      <c r="LJ32" s="499"/>
      <c r="LK32" s="499"/>
      <c r="LL32" s="499"/>
      <c r="LM32" s="499"/>
      <c r="LN32" s="499"/>
      <c r="LO32" s="499"/>
      <c r="LP32" s="499"/>
      <c r="LQ32" s="499"/>
      <c r="LR32" s="499"/>
      <c r="LS32" s="499"/>
      <c r="LT32" s="499"/>
      <c r="LU32" s="499"/>
      <c r="LV32" s="499"/>
      <c r="LW32" s="499"/>
      <c r="LX32" s="499"/>
      <c r="LY32" s="499"/>
      <c r="LZ32" s="499"/>
      <c r="MA32" s="499"/>
      <c r="MB32" s="499"/>
      <c r="MC32" s="499"/>
      <c r="MD32" s="499"/>
      <c r="ME32" s="499"/>
      <c r="MF32" s="499"/>
      <c r="MG32" s="499"/>
      <c r="MH32" s="499"/>
      <c r="MI32" s="499"/>
      <c r="MJ32" s="499"/>
      <c r="MK32" s="499"/>
      <c r="ML32" s="499"/>
      <c r="MM32" s="499"/>
      <c r="MN32" s="499"/>
      <c r="MO32" s="499"/>
      <c r="MP32" s="499"/>
      <c r="MQ32" s="499"/>
      <c r="MR32" s="499"/>
      <c r="MS32" s="499"/>
      <c r="MT32" s="499"/>
      <c r="MU32" s="499"/>
      <c r="MV32" s="499"/>
      <c r="MW32" s="499"/>
      <c r="MX32" s="499"/>
      <c r="MY32" s="499"/>
      <c r="MZ32" s="499"/>
      <c r="NA32" s="499"/>
      <c r="NB32" s="499"/>
      <c r="NC32" s="499"/>
      <c r="ND32" s="499"/>
      <c r="NE32" s="499"/>
      <c r="NF32" s="499"/>
      <c r="NG32" s="499"/>
      <c r="NH32" s="499"/>
      <c r="NI32" s="499"/>
      <c r="NJ32" s="499"/>
      <c r="NK32" s="499"/>
      <c r="NL32" s="499"/>
      <c r="NM32" s="499"/>
      <c r="NN32" s="499"/>
      <c r="NO32" s="499"/>
      <c r="NP32" s="499"/>
      <c r="NQ32" s="499"/>
      <c r="NR32" s="499"/>
      <c r="NS32" s="499"/>
      <c r="NT32" s="499"/>
      <c r="NU32" s="499"/>
      <c r="NV32" s="499"/>
      <c r="NW32" s="499"/>
      <c r="NX32" s="499"/>
      <c r="NY32" s="499"/>
      <c r="NZ32" s="499"/>
      <c r="OA32" s="499"/>
      <c r="OB32" s="499"/>
      <c r="OC32" s="499"/>
      <c r="OD32" s="499"/>
      <c r="OE32" s="499"/>
      <c r="OF32" s="499"/>
      <c r="OG32" s="499"/>
      <c r="OH32" s="499"/>
      <c r="OI32" s="499"/>
      <c r="OJ32" s="499"/>
      <c r="OK32" s="499"/>
      <c r="OL32" s="499"/>
      <c r="OM32" s="499"/>
      <c r="ON32" s="499"/>
      <c r="OO32" s="499"/>
      <c r="OP32" s="499"/>
      <c r="OQ32" s="499"/>
      <c r="OR32" s="499"/>
      <c r="OS32" s="499"/>
      <c r="OT32" s="499"/>
      <c r="OU32" s="499"/>
      <c r="OV32" s="499"/>
      <c r="OW32" s="499"/>
      <c r="OX32" s="499"/>
      <c r="OY32" s="499"/>
      <c r="OZ32" s="499"/>
      <c r="PA32" s="499"/>
      <c r="PB32" s="499"/>
      <c r="PC32" s="499"/>
      <c r="PD32" s="499"/>
      <c r="PE32" s="499"/>
      <c r="PF32" s="499"/>
      <c r="PG32" s="499"/>
      <c r="PH32" s="499"/>
      <c r="PI32" s="499"/>
      <c r="PJ32" s="499"/>
      <c r="PK32" s="499"/>
      <c r="PL32" s="499"/>
      <c r="PM32" s="499"/>
      <c r="PN32" s="499"/>
      <c r="PO32" s="499"/>
      <c r="PP32" s="499"/>
      <c r="PQ32" s="499"/>
      <c r="PR32" s="499"/>
      <c r="PS32" s="499"/>
      <c r="PT32" s="499"/>
      <c r="PU32" s="499"/>
      <c r="PV32" s="499"/>
      <c r="PW32" s="499"/>
      <c r="PX32" s="499"/>
      <c r="PY32" s="499"/>
      <c r="PZ32" s="499"/>
      <c r="QA32" s="499"/>
      <c r="QB32" s="499"/>
      <c r="QC32" s="499"/>
      <c r="QD32" s="499"/>
      <c r="QE32" s="499"/>
      <c r="QF32" s="499"/>
      <c r="QG32" s="499"/>
      <c r="QH32" s="499"/>
      <c r="QI32" s="499"/>
      <c r="QJ32" s="499"/>
      <c r="QK32" s="499"/>
      <c r="QL32" s="499"/>
      <c r="QM32" s="499"/>
      <c r="QN32" s="499"/>
      <c r="QO32" s="499"/>
      <c r="QP32" s="499"/>
      <c r="QQ32" s="499"/>
      <c r="QR32" s="499"/>
      <c r="QS32" s="499"/>
      <c r="QT32" s="499"/>
      <c r="QU32" s="499"/>
      <c r="QV32" s="499"/>
      <c r="QW32" s="499"/>
      <c r="QX32" s="499"/>
      <c r="QY32" s="499"/>
      <c r="QZ32" s="499"/>
      <c r="RA32" s="499"/>
      <c r="RB32" s="499"/>
      <c r="RC32" s="499"/>
      <c r="RD32" s="499"/>
      <c r="RE32" s="499"/>
      <c r="RF32" s="499"/>
      <c r="RG32" s="499"/>
      <c r="RH32" s="499"/>
      <c r="RI32" s="499"/>
      <c r="RJ32" s="499"/>
      <c r="RK32" s="499"/>
      <c r="RL32" s="499"/>
      <c r="RM32" s="499"/>
      <c r="RN32" s="499"/>
      <c r="RO32" s="499"/>
      <c r="RP32" s="499"/>
      <c r="RQ32" s="499"/>
      <c r="RR32" s="499"/>
      <c r="RS32" s="499"/>
      <c r="RT32" s="499"/>
      <c r="RU32" s="499"/>
      <c r="RV32" s="499"/>
      <c r="RW32" s="499"/>
      <c r="RX32" s="499"/>
      <c r="RY32" s="499"/>
      <c r="RZ32" s="499"/>
      <c r="SA32" s="499"/>
      <c r="SB32" s="499"/>
      <c r="SC32" s="499"/>
      <c r="SD32" s="499"/>
      <c r="SE32" s="499"/>
      <c r="SF32" s="499"/>
      <c r="SG32" s="499"/>
      <c r="SH32" s="499"/>
      <c r="SI32" s="499"/>
      <c r="SJ32" s="499"/>
      <c r="SK32" s="499"/>
      <c r="SL32" s="499"/>
      <c r="SM32" s="499"/>
      <c r="SN32" s="499"/>
      <c r="SO32" s="499"/>
      <c r="SP32" s="499"/>
      <c r="SQ32" s="499"/>
      <c r="SR32" s="499"/>
      <c r="SS32" s="499"/>
      <c r="ST32" s="499"/>
      <c r="SU32" s="499"/>
      <c r="SV32" s="499"/>
      <c r="SW32" s="499"/>
      <c r="SX32" s="499"/>
      <c r="SY32" s="499"/>
      <c r="SZ32" s="499"/>
      <c r="TA32" s="499"/>
      <c r="TB32" s="499"/>
      <c r="TC32" s="499"/>
      <c r="TD32" s="499"/>
      <c r="TE32" s="499"/>
      <c r="TF32" s="499"/>
      <c r="TG32" s="499"/>
      <c r="TH32" s="499"/>
      <c r="TI32" s="499"/>
      <c r="TJ32" s="499"/>
      <c r="TK32" s="499"/>
      <c r="TL32" s="499"/>
      <c r="TM32" s="499"/>
      <c r="TN32" s="499"/>
      <c r="TO32" s="499"/>
      <c r="TP32" s="499"/>
      <c r="TQ32" s="499"/>
      <c r="TR32" s="499"/>
      <c r="TS32" s="499"/>
      <c r="TT32" s="499"/>
      <c r="TU32" s="499"/>
      <c r="TV32" s="499"/>
      <c r="TW32" s="499"/>
      <c r="TX32" s="499"/>
      <c r="TY32" s="499"/>
      <c r="TZ32" s="499"/>
      <c r="UA32" s="499"/>
      <c r="UB32" s="499"/>
      <c r="UC32" s="499"/>
      <c r="UD32" s="499"/>
      <c r="UE32" s="499"/>
      <c r="UF32" s="499"/>
      <c r="UG32" s="499"/>
      <c r="UH32" s="499"/>
      <c r="UI32" s="499"/>
      <c r="UJ32" s="499"/>
      <c r="UK32" s="499"/>
      <c r="UL32" s="499"/>
      <c r="UM32" s="499"/>
      <c r="UN32" s="499"/>
      <c r="UO32" s="499"/>
      <c r="UP32" s="499"/>
      <c r="UQ32" s="499"/>
      <c r="UR32" s="499"/>
      <c r="US32" s="499"/>
      <c r="UT32" s="499"/>
      <c r="UU32" s="499"/>
      <c r="UV32" s="499"/>
      <c r="UW32" s="499"/>
      <c r="UX32" s="499"/>
      <c r="UY32" s="499"/>
      <c r="UZ32" s="499"/>
      <c r="VA32" s="499"/>
      <c r="VB32" s="499"/>
      <c r="VC32" s="499"/>
      <c r="VD32" s="499"/>
      <c r="VE32" s="499"/>
      <c r="VF32" s="499"/>
      <c r="VG32" s="499"/>
      <c r="VH32" s="499"/>
      <c r="VI32" s="499"/>
      <c r="VJ32" s="499"/>
      <c r="VK32" s="499"/>
      <c r="VL32" s="499"/>
      <c r="VM32" s="499"/>
      <c r="VN32" s="499"/>
      <c r="VO32" s="499"/>
      <c r="VP32" s="499"/>
      <c r="VQ32" s="499"/>
      <c r="VR32" s="499"/>
      <c r="VS32" s="499"/>
      <c r="VT32" s="499"/>
      <c r="VU32" s="499"/>
      <c r="VV32" s="499"/>
      <c r="VW32" s="499"/>
      <c r="VX32" s="499"/>
      <c r="VY32" s="499"/>
      <c r="VZ32" s="499"/>
      <c r="WA32" s="499"/>
      <c r="WB32" s="499"/>
      <c r="WC32" s="499"/>
      <c r="WD32" s="499"/>
      <c r="WE32" s="499"/>
      <c r="WF32" s="499"/>
    </row>
    <row r="33" spans="1:604" ht="45" customHeight="1" x14ac:dyDescent="0.2">
      <c r="A33" s="486"/>
      <c r="B33" s="486"/>
      <c r="C33" s="440" t="s">
        <v>695</v>
      </c>
      <c r="D33" s="450" t="s">
        <v>190</v>
      </c>
      <c r="E33" s="435">
        <v>260278</v>
      </c>
      <c r="F33" s="442" t="s">
        <v>365</v>
      </c>
      <c r="G33" s="437">
        <f>'MC-DRE'!M22</f>
        <v>34.299999999999997</v>
      </c>
      <c r="H33" s="437" t="s">
        <v>2</v>
      </c>
      <c r="I33" s="479">
        <v>38.380000000000003</v>
      </c>
      <c r="J33" s="439">
        <f t="shared" si="1"/>
        <v>48.92</v>
      </c>
      <c r="K33" s="476">
        <f t="shared" si="2"/>
        <v>1677.96</v>
      </c>
      <c r="L33" s="478"/>
      <c r="M33" s="478"/>
      <c r="N33" s="478"/>
      <c r="O33" s="478"/>
      <c r="P33" s="478"/>
      <c r="Q33" s="478"/>
      <c r="R33" s="478"/>
      <c r="S33" s="478"/>
      <c r="T33" s="478"/>
      <c r="U33" s="478"/>
      <c r="V33" s="478"/>
      <c r="W33" s="478"/>
      <c r="X33" s="478"/>
      <c r="Y33" s="478"/>
      <c r="Z33" s="478"/>
      <c r="AA33" s="478"/>
      <c r="AB33" s="478"/>
      <c r="AC33" s="478"/>
      <c r="AD33" s="478"/>
      <c r="AE33" s="478"/>
      <c r="AF33" s="478"/>
      <c r="AG33" s="478"/>
      <c r="AH33" s="478"/>
      <c r="AI33" s="478"/>
      <c r="AJ33" s="444"/>
      <c r="AK33" s="444"/>
      <c r="AL33" s="444"/>
      <c r="AM33" s="444"/>
      <c r="AN33" s="444"/>
      <c r="AO33" s="444"/>
      <c r="AP33" s="444"/>
      <c r="AQ33" s="444"/>
      <c r="AR33" s="444"/>
      <c r="AS33" s="444"/>
      <c r="AT33" s="444"/>
      <c r="AU33" s="444"/>
      <c r="AV33" s="444"/>
      <c r="AW33" s="444"/>
      <c r="AX33" s="444"/>
      <c r="AY33" s="444"/>
      <c r="AZ33" s="444"/>
      <c r="BA33" s="444"/>
      <c r="BB33" s="444"/>
      <c r="BC33" s="444"/>
      <c r="BD33" s="444"/>
      <c r="BE33" s="444"/>
      <c r="BF33" s="444"/>
      <c r="BG33" s="444"/>
      <c r="BH33" s="444"/>
      <c r="BI33" s="444"/>
      <c r="BJ33" s="444"/>
      <c r="BK33" s="444"/>
      <c r="BL33" s="444"/>
      <c r="BM33" s="444"/>
      <c r="BN33" s="444"/>
      <c r="BO33" s="444"/>
      <c r="BP33" s="444"/>
      <c r="BQ33" s="444"/>
      <c r="BR33" s="444"/>
      <c r="BS33" s="444"/>
      <c r="BT33" s="444"/>
      <c r="BU33" s="444"/>
      <c r="BV33" s="444"/>
      <c r="BW33" s="444"/>
      <c r="BX33" s="444"/>
      <c r="BY33" s="444"/>
      <c r="BZ33" s="444"/>
      <c r="CA33" s="444"/>
      <c r="CB33" s="444"/>
      <c r="CC33" s="444"/>
      <c r="CD33" s="444"/>
      <c r="CE33" s="444"/>
      <c r="CF33" s="444"/>
      <c r="CG33" s="444"/>
      <c r="CH33" s="444"/>
      <c r="CI33" s="444"/>
      <c r="CJ33" s="444"/>
      <c r="CK33" s="444"/>
      <c r="CL33" s="444"/>
      <c r="CM33" s="444"/>
      <c r="CN33" s="444"/>
      <c r="CO33" s="444"/>
      <c r="CP33" s="444"/>
      <c r="CQ33" s="444"/>
      <c r="CR33" s="444"/>
      <c r="CS33" s="444"/>
      <c r="CT33" s="444"/>
      <c r="CU33" s="444"/>
      <c r="CV33" s="444"/>
      <c r="CW33" s="444"/>
      <c r="CX33" s="444"/>
      <c r="CY33" s="444"/>
      <c r="CZ33" s="444"/>
      <c r="DA33" s="444"/>
      <c r="DB33" s="444"/>
      <c r="DC33" s="444"/>
      <c r="DD33" s="444"/>
      <c r="DE33" s="444"/>
      <c r="DF33" s="444"/>
      <c r="DG33" s="444"/>
      <c r="DH33" s="444"/>
      <c r="DI33" s="444"/>
      <c r="DJ33" s="444"/>
      <c r="DK33" s="444"/>
      <c r="DL33" s="444"/>
      <c r="DM33" s="444"/>
      <c r="DN33" s="444"/>
      <c r="DO33" s="444"/>
      <c r="DP33" s="444"/>
      <c r="DQ33" s="444"/>
      <c r="DR33" s="444"/>
      <c r="DS33" s="444"/>
      <c r="DT33" s="444"/>
      <c r="DU33" s="444"/>
      <c r="DV33" s="444"/>
      <c r="DW33" s="444"/>
      <c r="DX33" s="444"/>
      <c r="DY33" s="444"/>
      <c r="DZ33" s="444"/>
      <c r="EA33" s="444"/>
      <c r="EB33" s="444"/>
      <c r="EC33" s="444"/>
      <c r="ED33" s="444"/>
      <c r="EE33" s="444"/>
      <c r="EF33" s="444"/>
      <c r="EG33" s="444"/>
      <c r="EH33" s="444"/>
      <c r="EI33" s="444"/>
      <c r="EJ33" s="444"/>
      <c r="EK33" s="444"/>
      <c r="EL33" s="444"/>
      <c r="EM33" s="444"/>
      <c r="EN33" s="444"/>
      <c r="EO33" s="444"/>
      <c r="EP33" s="444"/>
      <c r="EQ33" s="444"/>
      <c r="ER33" s="444"/>
      <c r="ES33" s="444"/>
      <c r="ET33" s="444"/>
      <c r="EU33" s="444"/>
      <c r="EV33" s="444"/>
      <c r="EW33" s="444"/>
      <c r="EX33" s="444"/>
      <c r="EY33" s="444"/>
      <c r="EZ33" s="444"/>
      <c r="FA33" s="444"/>
      <c r="FB33" s="444"/>
      <c r="FC33" s="444"/>
      <c r="FD33" s="444"/>
      <c r="FE33" s="444"/>
      <c r="FF33" s="444"/>
      <c r="FG33" s="444"/>
      <c r="FH33" s="444"/>
      <c r="FI33" s="444"/>
      <c r="FJ33" s="444"/>
      <c r="FK33" s="444"/>
      <c r="FL33" s="444"/>
      <c r="FM33" s="444"/>
      <c r="FN33" s="444"/>
      <c r="FO33" s="444"/>
      <c r="FP33" s="444"/>
      <c r="FQ33" s="444"/>
      <c r="FR33" s="444"/>
      <c r="FS33" s="444"/>
      <c r="FT33" s="444"/>
      <c r="FU33" s="444"/>
      <c r="FV33" s="444"/>
      <c r="FW33" s="444"/>
      <c r="FX33" s="444"/>
      <c r="FY33" s="444"/>
      <c r="FZ33" s="444"/>
      <c r="GA33" s="444"/>
      <c r="GB33" s="444"/>
      <c r="GC33" s="444"/>
      <c r="GD33" s="444"/>
      <c r="GE33" s="444"/>
      <c r="GF33" s="444"/>
      <c r="GG33" s="444"/>
      <c r="GH33" s="444"/>
      <c r="GI33" s="444"/>
      <c r="GJ33" s="444"/>
      <c r="GK33" s="444"/>
      <c r="GL33" s="444"/>
      <c r="GM33" s="444"/>
      <c r="GN33" s="444"/>
      <c r="GO33" s="444"/>
      <c r="GP33" s="444"/>
      <c r="GQ33" s="444"/>
      <c r="GR33" s="444"/>
      <c r="GS33" s="444"/>
      <c r="GT33" s="444"/>
      <c r="GU33" s="444"/>
      <c r="GV33" s="444"/>
      <c r="GW33" s="444"/>
      <c r="GX33" s="444"/>
      <c r="GY33" s="444"/>
      <c r="GZ33" s="444"/>
      <c r="HA33" s="444"/>
      <c r="HB33" s="444"/>
      <c r="HC33" s="444"/>
      <c r="HD33" s="444"/>
      <c r="HE33" s="444"/>
      <c r="HF33" s="444"/>
      <c r="HG33" s="444"/>
      <c r="HH33" s="444"/>
      <c r="HI33" s="444"/>
      <c r="HJ33" s="444"/>
      <c r="HK33" s="444"/>
      <c r="HL33" s="444"/>
      <c r="HM33" s="444"/>
      <c r="HN33" s="444"/>
      <c r="HO33" s="444"/>
      <c r="HP33" s="444"/>
      <c r="HQ33" s="444"/>
      <c r="HR33" s="444"/>
      <c r="HS33" s="444"/>
      <c r="HT33" s="444"/>
      <c r="HU33" s="444"/>
      <c r="HV33" s="444"/>
      <c r="HW33" s="444"/>
      <c r="HX33" s="444"/>
      <c r="HY33" s="444"/>
      <c r="HZ33" s="444"/>
      <c r="IA33" s="444"/>
      <c r="IB33" s="444"/>
      <c r="IC33" s="444"/>
      <c r="ID33" s="444"/>
      <c r="IE33" s="444"/>
      <c r="IF33" s="444"/>
      <c r="IG33" s="444"/>
      <c r="IH33" s="444"/>
      <c r="II33" s="444"/>
      <c r="IJ33" s="444"/>
      <c r="IK33" s="444"/>
      <c r="IL33" s="444"/>
      <c r="IM33" s="444"/>
      <c r="IN33" s="444"/>
      <c r="IO33" s="444"/>
      <c r="IP33" s="444"/>
      <c r="IQ33" s="444"/>
      <c r="IR33" s="444"/>
      <c r="IS33" s="444"/>
      <c r="IT33" s="444"/>
      <c r="IU33" s="444"/>
      <c r="IV33" s="444"/>
      <c r="IW33" s="444"/>
      <c r="IX33" s="444"/>
      <c r="IY33" s="444"/>
      <c r="IZ33" s="444"/>
      <c r="JA33" s="444"/>
      <c r="JB33" s="444"/>
      <c r="JC33" s="444"/>
      <c r="JD33" s="444"/>
      <c r="JE33" s="444"/>
      <c r="JF33" s="444"/>
      <c r="JG33" s="444"/>
      <c r="JH33" s="444"/>
      <c r="JI33" s="444"/>
      <c r="JJ33" s="444"/>
      <c r="JK33" s="444"/>
      <c r="JL33" s="444"/>
      <c r="JM33" s="444"/>
      <c r="JN33" s="444"/>
      <c r="JO33" s="444"/>
      <c r="JP33" s="444"/>
      <c r="JQ33" s="444"/>
      <c r="JR33" s="444"/>
      <c r="JS33" s="444"/>
      <c r="JT33" s="444"/>
      <c r="JU33" s="444"/>
      <c r="JV33" s="444"/>
      <c r="JW33" s="444"/>
      <c r="JX33" s="444"/>
      <c r="JY33" s="444"/>
      <c r="JZ33" s="444"/>
      <c r="KA33" s="444"/>
      <c r="KB33" s="444"/>
      <c r="KC33" s="444"/>
      <c r="KD33" s="444"/>
      <c r="KE33" s="444"/>
      <c r="KF33" s="444"/>
      <c r="KG33" s="444"/>
      <c r="KH33" s="444"/>
      <c r="KI33" s="444"/>
      <c r="KJ33" s="444"/>
      <c r="KK33" s="444"/>
      <c r="KL33" s="444"/>
      <c r="KM33" s="444"/>
      <c r="KN33" s="444"/>
      <c r="KO33" s="444"/>
      <c r="KP33" s="444"/>
      <c r="KQ33" s="444"/>
      <c r="KR33" s="444"/>
      <c r="KS33" s="444"/>
      <c r="KT33" s="444"/>
      <c r="KU33" s="444"/>
      <c r="KV33" s="444"/>
      <c r="KW33" s="444"/>
      <c r="KX33" s="444"/>
      <c r="KY33" s="444"/>
      <c r="KZ33" s="444"/>
      <c r="LA33" s="444"/>
      <c r="LB33" s="444"/>
      <c r="LC33" s="444"/>
      <c r="LD33" s="444"/>
      <c r="LE33" s="444"/>
      <c r="LF33" s="444"/>
      <c r="LG33" s="444"/>
      <c r="LH33" s="444"/>
      <c r="LI33" s="444"/>
      <c r="LJ33" s="444"/>
      <c r="LK33" s="444"/>
      <c r="LL33" s="444"/>
      <c r="LM33" s="444"/>
      <c r="LN33" s="444"/>
      <c r="LO33" s="444"/>
      <c r="LP33" s="444"/>
      <c r="LQ33" s="444"/>
      <c r="LR33" s="444"/>
      <c r="LS33" s="444"/>
      <c r="LT33" s="444"/>
      <c r="LU33" s="444"/>
      <c r="LV33" s="444"/>
      <c r="LW33" s="444"/>
      <c r="LX33" s="444"/>
      <c r="LY33" s="444"/>
      <c r="LZ33" s="444"/>
      <c r="MA33" s="444"/>
      <c r="MB33" s="444"/>
      <c r="MC33" s="444"/>
      <c r="MD33" s="444"/>
      <c r="ME33" s="444"/>
      <c r="MF33" s="444"/>
      <c r="MG33" s="444"/>
      <c r="MH33" s="444"/>
      <c r="MI33" s="444"/>
      <c r="MJ33" s="444"/>
      <c r="MK33" s="444"/>
      <c r="ML33" s="444"/>
      <c r="MM33" s="444"/>
      <c r="MN33" s="444"/>
      <c r="MO33" s="444"/>
      <c r="MP33" s="444"/>
      <c r="MQ33" s="444"/>
      <c r="MR33" s="444"/>
      <c r="MS33" s="444"/>
      <c r="MT33" s="444"/>
      <c r="MU33" s="444"/>
      <c r="MV33" s="444"/>
      <c r="MW33" s="444"/>
      <c r="MX33" s="444"/>
      <c r="MY33" s="444"/>
      <c r="MZ33" s="444"/>
      <c r="NA33" s="444"/>
      <c r="NB33" s="444"/>
      <c r="NC33" s="444"/>
      <c r="ND33" s="444"/>
      <c r="NE33" s="444"/>
      <c r="NF33" s="444"/>
      <c r="NG33" s="444"/>
      <c r="NH33" s="444"/>
      <c r="NI33" s="444"/>
      <c r="NJ33" s="444"/>
      <c r="NK33" s="444"/>
      <c r="NL33" s="444"/>
      <c r="NM33" s="444"/>
      <c r="NN33" s="444"/>
      <c r="NO33" s="444"/>
      <c r="NP33" s="444"/>
      <c r="NQ33" s="444"/>
      <c r="NR33" s="444"/>
      <c r="NS33" s="444"/>
      <c r="NT33" s="444"/>
      <c r="NU33" s="444"/>
      <c r="NV33" s="444"/>
      <c r="NW33" s="444"/>
      <c r="NX33" s="444"/>
      <c r="NY33" s="444"/>
      <c r="NZ33" s="444"/>
      <c r="OA33" s="444"/>
      <c r="OB33" s="444"/>
      <c r="OC33" s="444"/>
      <c r="OD33" s="444"/>
      <c r="OE33" s="444"/>
      <c r="OF33" s="444"/>
      <c r="OG33" s="444"/>
      <c r="OH33" s="444"/>
      <c r="OI33" s="444"/>
      <c r="OJ33" s="444"/>
      <c r="OK33" s="444"/>
      <c r="OL33" s="444"/>
      <c r="OM33" s="444"/>
      <c r="ON33" s="444"/>
      <c r="OO33" s="444"/>
      <c r="OP33" s="444"/>
      <c r="OQ33" s="444"/>
      <c r="OR33" s="444"/>
      <c r="OS33" s="444"/>
      <c r="OT33" s="444"/>
      <c r="OU33" s="444"/>
      <c r="OV33" s="444"/>
      <c r="OW33" s="444"/>
      <c r="OX33" s="444"/>
      <c r="OY33" s="444"/>
      <c r="OZ33" s="444"/>
      <c r="PA33" s="444"/>
      <c r="PB33" s="444"/>
      <c r="PC33" s="444"/>
      <c r="PD33" s="444"/>
      <c r="PE33" s="444"/>
      <c r="PF33" s="444"/>
      <c r="PG33" s="444"/>
      <c r="PH33" s="444"/>
      <c r="PI33" s="444"/>
      <c r="PJ33" s="444"/>
      <c r="PK33" s="444"/>
      <c r="PL33" s="444"/>
      <c r="PM33" s="444"/>
      <c r="PN33" s="444"/>
      <c r="PO33" s="444"/>
      <c r="PP33" s="444"/>
      <c r="PQ33" s="444"/>
      <c r="PR33" s="444"/>
      <c r="PS33" s="444"/>
      <c r="PT33" s="444"/>
      <c r="PU33" s="444"/>
      <c r="PV33" s="444"/>
      <c r="PW33" s="444"/>
      <c r="PX33" s="444"/>
      <c r="PY33" s="444"/>
      <c r="PZ33" s="444"/>
      <c r="QA33" s="444"/>
      <c r="QB33" s="444"/>
      <c r="QC33" s="444"/>
      <c r="QD33" s="444"/>
      <c r="QE33" s="444"/>
      <c r="QF33" s="444"/>
      <c r="QG33" s="444"/>
      <c r="QH33" s="444"/>
      <c r="QI33" s="444"/>
      <c r="QJ33" s="444"/>
      <c r="QK33" s="444"/>
      <c r="QL33" s="444"/>
      <c r="QM33" s="444"/>
      <c r="QN33" s="444"/>
      <c r="QO33" s="444"/>
      <c r="QP33" s="444"/>
      <c r="QQ33" s="444"/>
      <c r="QR33" s="444"/>
      <c r="QS33" s="444"/>
      <c r="QT33" s="444"/>
      <c r="QU33" s="444"/>
      <c r="QV33" s="444"/>
      <c r="QW33" s="444"/>
      <c r="QX33" s="444"/>
      <c r="QY33" s="444"/>
      <c r="QZ33" s="444"/>
      <c r="RA33" s="444"/>
      <c r="RB33" s="444"/>
      <c r="RC33" s="444"/>
      <c r="RD33" s="444"/>
      <c r="RE33" s="444"/>
      <c r="RF33" s="444"/>
      <c r="RG33" s="444"/>
      <c r="RH33" s="444"/>
      <c r="RI33" s="444"/>
      <c r="RJ33" s="444"/>
      <c r="RK33" s="444"/>
      <c r="RL33" s="444"/>
      <c r="RM33" s="444"/>
      <c r="RN33" s="444"/>
      <c r="RO33" s="444"/>
      <c r="RP33" s="444"/>
      <c r="RQ33" s="444"/>
      <c r="RR33" s="444"/>
      <c r="RS33" s="444"/>
      <c r="RT33" s="444"/>
      <c r="RU33" s="444"/>
      <c r="RV33" s="444"/>
      <c r="RW33" s="444"/>
      <c r="RX33" s="444"/>
      <c r="RY33" s="444"/>
      <c r="RZ33" s="444"/>
      <c r="SA33" s="444"/>
      <c r="SB33" s="444"/>
      <c r="SC33" s="444"/>
      <c r="SD33" s="444"/>
      <c r="SE33" s="444"/>
      <c r="SF33" s="444"/>
      <c r="SG33" s="444"/>
      <c r="SH33" s="444"/>
      <c r="SI33" s="444"/>
      <c r="SJ33" s="444"/>
      <c r="SK33" s="444"/>
      <c r="SL33" s="444"/>
      <c r="SM33" s="444"/>
      <c r="SN33" s="444"/>
      <c r="SO33" s="444"/>
      <c r="SP33" s="444"/>
      <c r="SQ33" s="444"/>
      <c r="SR33" s="444"/>
      <c r="SS33" s="444"/>
      <c r="ST33" s="444"/>
      <c r="SU33" s="444"/>
      <c r="SV33" s="444"/>
      <c r="SW33" s="444"/>
      <c r="SX33" s="444"/>
      <c r="SY33" s="444"/>
      <c r="SZ33" s="444"/>
      <c r="TA33" s="444"/>
      <c r="TB33" s="444"/>
      <c r="TC33" s="444"/>
      <c r="TD33" s="444"/>
      <c r="TE33" s="444"/>
      <c r="TF33" s="444"/>
      <c r="TG33" s="444"/>
      <c r="TH33" s="444"/>
      <c r="TI33" s="444"/>
      <c r="TJ33" s="444"/>
      <c r="TK33" s="444"/>
      <c r="TL33" s="444"/>
      <c r="TM33" s="444"/>
      <c r="TN33" s="444"/>
      <c r="TO33" s="444"/>
      <c r="TP33" s="444"/>
      <c r="TQ33" s="444"/>
      <c r="TR33" s="444"/>
      <c r="TS33" s="444"/>
      <c r="TT33" s="444"/>
      <c r="TU33" s="444"/>
      <c r="TV33" s="444"/>
      <c r="TW33" s="444"/>
      <c r="TX33" s="444"/>
      <c r="TY33" s="444"/>
      <c r="TZ33" s="444"/>
      <c r="UA33" s="444"/>
      <c r="UB33" s="444"/>
      <c r="UC33" s="444"/>
      <c r="UD33" s="444"/>
      <c r="UE33" s="444"/>
      <c r="UF33" s="444"/>
      <c r="UG33" s="444"/>
      <c r="UH33" s="444"/>
      <c r="UI33" s="444"/>
      <c r="UJ33" s="444"/>
      <c r="UK33" s="444"/>
      <c r="UL33" s="444"/>
      <c r="UM33" s="444"/>
      <c r="UN33" s="444"/>
      <c r="UO33" s="444"/>
      <c r="UP33" s="444"/>
      <c r="UQ33" s="444"/>
      <c r="UR33" s="444"/>
      <c r="US33" s="444"/>
      <c r="UT33" s="444"/>
      <c r="UU33" s="444"/>
      <c r="UV33" s="444"/>
      <c r="UW33" s="444"/>
      <c r="UX33" s="444"/>
      <c r="UY33" s="444"/>
      <c r="UZ33" s="444"/>
      <c r="VA33" s="444"/>
      <c r="VB33" s="444"/>
      <c r="VC33" s="444"/>
      <c r="VD33" s="444"/>
      <c r="VE33" s="444"/>
      <c r="VF33" s="444"/>
      <c r="VG33" s="444"/>
      <c r="VH33" s="444"/>
      <c r="VI33" s="444"/>
      <c r="VJ33" s="444"/>
      <c r="VK33" s="444"/>
      <c r="VL33" s="444"/>
      <c r="VM33" s="444"/>
      <c r="VN33" s="444"/>
      <c r="VO33" s="444"/>
      <c r="VP33" s="444"/>
      <c r="VQ33" s="444"/>
      <c r="VR33" s="444"/>
      <c r="VS33" s="444"/>
      <c r="VT33" s="444"/>
      <c r="VU33" s="444"/>
      <c r="VV33" s="444"/>
      <c r="VW33" s="444"/>
      <c r="VX33" s="444"/>
      <c r="VY33" s="444"/>
      <c r="VZ33" s="444"/>
      <c r="WA33" s="444"/>
      <c r="WB33" s="444"/>
      <c r="WC33" s="444"/>
      <c r="WD33" s="444"/>
      <c r="WE33" s="444"/>
      <c r="WF33" s="444"/>
    </row>
    <row r="34" spans="1:604" ht="45" customHeight="1" x14ac:dyDescent="0.2">
      <c r="A34" s="486"/>
      <c r="B34" s="486"/>
      <c r="C34" s="440" t="s">
        <v>696</v>
      </c>
      <c r="D34" s="450" t="s">
        <v>190</v>
      </c>
      <c r="E34" s="435">
        <v>30011</v>
      </c>
      <c r="F34" s="442" t="s">
        <v>500</v>
      </c>
      <c r="G34" s="437">
        <f>'MC-DRE'!O22</f>
        <v>24.17</v>
      </c>
      <c r="H34" s="438" t="s">
        <v>0</v>
      </c>
      <c r="I34" s="479">
        <v>133.13999999999999</v>
      </c>
      <c r="J34" s="439">
        <f t="shared" si="1"/>
        <v>169.7</v>
      </c>
      <c r="K34" s="476">
        <f t="shared" si="2"/>
        <v>4101.6499999999996</v>
      </c>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44"/>
      <c r="AK34" s="444"/>
      <c r="AL34" s="444"/>
      <c r="AM34" s="444"/>
      <c r="AN34" s="444"/>
      <c r="AO34" s="444"/>
      <c r="AP34" s="444"/>
      <c r="AQ34" s="444"/>
      <c r="AR34" s="444"/>
      <c r="AS34" s="444"/>
      <c r="AT34" s="444"/>
      <c r="AU34" s="444"/>
      <c r="AV34" s="444"/>
      <c r="AW34" s="444"/>
      <c r="AX34" s="444"/>
      <c r="AY34" s="444"/>
      <c r="AZ34" s="444"/>
      <c r="BA34" s="444"/>
      <c r="BB34" s="444"/>
      <c r="BC34" s="444"/>
      <c r="BD34" s="444"/>
      <c r="BE34" s="444"/>
      <c r="BF34" s="444"/>
      <c r="BG34" s="444"/>
      <c r="BH34" s="444"/>
      <c r="BI34" s="444"/>
      <c r="BJ34" s="444"/>
      <c r="BK34" s="444"/>
      <c r="BL34" s="444"/>
      <c r="BM34" s="444"/>
      <c r="BN34" s="444"/>
      <c r="BO34" s="444"/>
      <c r="BP34" s="444"/>
      <c r="BQ34" s="444"/>
      <c r="BR34" s="444"/>
      <c r="BS34" s="444"/>
      <c r="BT34" s="444"/>
      <c r="BU34" s="444"/>
      <c r="BV34" s="444"/>
      <c r="BW34" s="444"/>
      <c r="BX34" s="444"/>
      <c r="BY34" s="444"/>
      <c r="BZ34" s="444"/>
      <c r="CA34" s="444"/>
      <c r="CB34" s="444"/>
      <c r="CC34" s="444"/>
      <c r="CD34" s="444"/>
      <c r="CE34" s="444"/>
      <c r="CF34" s="444"/>
      <c r="CG34" s="444"/>
      <c r="CH34" s="444"/>
      <c r="CI34" s="444"/>
      <c r="CJ34" s="444"/>
      <c r="CK34" s="444"/>
      <c r="CL34" s="444"/>
      <c r="CM34" s="444"/>
      <c r="CN34" s="444"/>
      <c r="CO34" s="444"/>
      <c r="CP34" s="444"/>
      <c r="CQ34" s="444"/>
      <c r="CR34" s="444"/>
      <c r="CS34" s="444"/>
      <c r="CT34" s="444"/>
      <c r="CU34" s="444"/>
      <c r="CV34" s="444"/>
      <c r="CW34" s="444"/>
      <c r="CX34" s="444"/>
      <c r="CY34" s="444"/>
      <c r="CZ34" s="444"/>
      <c r="DA34" s="444"/>
      <c r="DB34" s="444"/>
      <c r="DC34" s="444"/>
      <c r="DD34" s="444"/>
      <c r="DE34" s="444"/>
      <c r="DF34" s="444"/>
      <c r="DG34" s="444"/>
      <c r="DH34" s="444"/>
      <c r="DI34" s="444"/>
      <c r="DJ34" s="444"/>
      <c r="DK34" s="444"/>
      <c r="DL34" s="444"/>
      <c r="DM34" s="444"/>
      <c r="DN34" s="444"/>
      <c r="DO34" s="444"/>
      <c r="DP34" s="444"/>
      <c r="DQ34" s="444"/>
      <c r="DR34" s="444"/>
      <c r="DS34" s="444"/>
      <c r="DT34" s="444"/>
      <c r="DU34" s="444"/>
      <c r="DV34" s="444"/>
      <c r="DW34" s="444"/>
      <c r="DX34" s="444"/>
      <c r="DY34" s="444"/>
      <c r="DZ34" s="444"/>
      <c r="EA34" s="444"/>
      <c r="EB34" s="444"/>
      <c r="EC34" s="444"/>
      <c r="ED34" s="444"/>
      <c r="EE34" s="444"/>
      <c r="EF34" s="444"/>
      <c r="EG34" s="444"/>
      <c r="EH34" s="444"/>
      <c r="EI34" s="444"/>
      <c r="EJ34" s="444"/>
      <c r="EK34" s="444"/>
      <c r="EL34" s="444"/>
      <c r="EM34" s="444"/>
      <c r="EN34" s="444"/>
      <c r="EO34" s="444"/>
      <c r="EP34" s="444"/>
      <c r="EQ34" s="444"/>
      <c r="ER34" s="444"/>
      <c r="ES34" s="444"/>
      <c r="ET34" s="444"/>
      <c r="EU34" s="444"/>
      <c r="EV34" s="444"/>
      <c r="EW34" s="444"/>
      <c r="EX34" s="444"/>
      <c r="EY34" s="444"/>
      <c r="EZ34" s="444"/>
      <c r="FA34" s="444"/>
      <c r="FB34" s="444"/>
      <c r="FC34" s="444"/>
      <c r="FD34" s="444"/>
      <c r="FE34" s="444"/>
      <c r="FF34" s="444"/>
      <c r="FG34" s="444"/>
      <c r="FH34" s="444"/>
      <c r="FI34" s="444"/>
      <c r="FJ34" s="444"/>
      <c r="FK34" s="444"/>
      <c r="FL34" s="444"/>
      <c r="FM34" s="444"/>
      <c r="FN34" s="444"/>
      <c r="FO34" s="444"/>
      <c r="FP34" s="444"/>
      <c r="FQ34" s="444"/>
      <c r="FR34" s="444"/>
      <c r="FS34" s="444"/>
      <c r="FT34" s="444"/>
      <c r="FU34" s="444"/>
      <c r="FV34" s="444"/>
      <c r="FW34" s="444"/>
      <c r="FX34" s="444"/>
      <c r="FY34" s="444"/>
      <c r="FZ34" s="444"/>
      <c r="GA34" s="444"/>
      <c r="GB34" s="444"/>
      <c r="GC34" s="444"/>
      <c r="GD34" s="444"/>
      <c r="GE34" s="444"/>
      <c r="GF34" s="444"/>
      <c r="GG34" s="444"/>
      <c r="GH34" s="444"/>
      <c r="GI34" s="444"/>
      <c r="GJ34" s="444"/>
      <c r="GK34" s="444"/>
      <c r="GL34" s="444"/>
      <c r="GM34" s="444"/>
      <c r="GN34" s="444"/>
      <c r="GO34" s="444"/>
      <c r="GP34" s="444"/>
      <c r="GQ34" s="444"/>
      <c r="GR34" s="444"/>
      <c r="GS34" s="444"/>
      <c r="GT34" s="444"/>
      <c r="GU34" s="444"/>
      <c r="GV34" s="444"/>
      <c r="GW34" s="444"/>
      <c r="GX34" s="444"/>
      <c r="GY34" s="444"/>
      <c r="GZ34" s="444"/>
      <c r="HA34" s="444"/>
      <c r="HB34" s="444"/>
      <c r="HC34" s="444"/>
      <c r="HD34" s="444"/>
      <c r="HE34" s="444"/>
      <c r="HF34" s="444"/>
      <c r="HG34" s="444"/>
      <c r="HH34" s="444"/>
      <c r="HI34" s="444"/>
      <c r="HJ34" s="444"/>
      <c r="HK34" s="444"/>
      <c r="HL34" s="444"/>
      <c r="HM34" s="444"/>
      <c r="HN34" s="444"/>
      <c r="HO34" s="444"/>
      <c r="HP34" s="444"/>
      <c r="HQ34" s="444"/>
      <c r="HR34" s="444"/>
      <c r="HS34" s="444"/>
      <c r="HT34" s="444"/>
      <c r="HU34" s="444"/>
      <c r="HV34" s="444"/>
      <c r="HW34" s="444"/>
      <c r="HX34" s="444"/>
      <c r="HY34" s="444"/>
      <c r="HZ34" s="444"/>
      <c r="IA34" s="444"/>
      <c r="IB34" s="444"/>
      <c r="IC34" s="444"/>
      <c r="ID34" s="444"/>
      <c r="IE34" s="444"/>
      <c r="IF34" s="444"/>
      <c r="IG34" s="444"/>
      <c r="IH34" s="444"/>
      <c r="II34" s="444"/>
      <c r="IJ34" s="444"/>
      <c r="IK34" s="444"/>
      <c r="IL34" s="444"/>
      <c r="IM34" s="444"/>
      <c r="IN34" s="444"/>
      <c r="IO34" s="444"/>
      <c r="IP34" s="444"/>
      <c r="IQ34" s="444"/>
      <c r="IR34" s="444"/>
      <c r="IS34" s="444"/>
      <c r="IT34" s="444"/>
      <c r="IU34" s="444"/>
      <c r="IV34" s="444"/>
      <c r="IW34" s="444"/>
      <c r="IX34" s="444"/>
      <c r="IY34" s="444"/>
      <c r="IZ34" s="444"/>
      <c r="JA34" s="444"/>
      <c r="JB34" s="444"/>
      <c r="JC34" s="444"/>
      <c r="JD34" s="444"/>
      <c r="JE34" s="444"/>
      <c r="JF34" s="444"/>
      <c r="JG34" s="444"/>
      <c r="JH34" s="444"/>
      <c r="JI34" s="444"/>
      <c r="JJ34" s="444"/>
      <c r="JK34" s="444"/>
      <c r="JL34" s="444"/>
      <c r="JM34" s="444"/>
      <c r="JN34" s="444"/>
      <c r="JO34" s="444"/>
      <c r="JP34" s="444"/>
      <c r="JQ34" s="444"/>
      <c r="JR34" s="444"/>
      <c r="JS34" s="444"/>
      <c r="JT34" s="444"/>
      <c r="JU34" s="444"/>
      <c r="JV34" s="444"/>
      <c r="JW34" s="444"/>
      <c r="JX34" s="444"/>
      <c r="JY34" s="444"/>
      <c r="JZ34" s="444"/>
      <c r="KA34" s="444"/>
      <c r="KB34" s="444"/>
      <c r="KC34" s="444"/>
      <c r="KD34" s="444"/>
      <c r="KE34" s="444"/>
      <c r="KF34" s="444"/>
      <c r="KG34" s="444"/>
      <c r="KH34" s="444"/>
      <c r="KI34" s="444"/>
      <c r="KJ34" s="444"/>
      <c r="KK34" s="444"/>
      <c r="KL34" s="444"/>
      <c r="KM34" s="444"/>
      <c r="KN34" s="444"/>
      <c r="KO34" s="444"/>
      <c r="KP34" s="444"/>
      <c r="KQ34" s="444"/>
      <c r="KR34" s="444"/>
      <c r="KS34" s="444"/>
      <c r="KT34" s="444"/>
      <c r="KU34" s="444"/>
      <c r="KV34" s="444"/>
      <c r="KW34" s="444"/>
      <c r="KX34" s="444"/>
      <c r="KY34" s="444"/>
      <c r="KZ34" s="444"/>
      <c r="LA34" s="444"/>
      <c r="LB34" s="444"/>
      <c r="LC34" s="444"/>
      <c r="LD34" s="444"/>
      <c r="LE34" s="444"/>
      <c r="LF34" s="444"/>
      <c r="LG34" s="444"/>
      <c r="LH34" s="444"/>
      <c r="LI34" s="444"/>
      <c r="LJ34" s="444"/>
      <c r="LK34" s="444"/>
      <c r="LL34" s="444"/>
      <c r="LM34" s="444"/>
      <c r="LN34" s="444"/>
      <c r="LO34" s="444"/>
      <c r="LP34" s="444"/>
      <c r="LQ34" s="444"/>
      <c r="LR34" s="444"/>
      <c r="LS34" s="444"/>
      <c r="LT34" s="444"/>
      <c r="LU34" s="444"/>
      <c r="LV34" s="444"/>
      <c r="LW34" s="444"/>
      <c r="LX34" s="444"/>
      <c r="LY34" s="444"/>
      <c r="LZ34" s="444"/>
      <c r="MA34" s="444"/>
      <c r="MB34" s="444"/>
      <c r="MC34" s="444"/>
      <c r="MD34" s="444"/>
      <c r="ME34" s="444"/>
      <c r="MF34" s="444"/>
      <c r="MG34" s="444"/>
      <c r="MH34" s="444"/>
      <c r="MI34" s="444"/>
      <c r="MJ34" s="444"/>
      <c r="MK34" s="444"/>
      <c r="ML34" s="444"/>
      <c r="MM34" s="444"/>
      <c r="MN34" s="444"/>
      <c r="MO34" s="444"/>
      <c r="MP34" s="444"/>
      <c r="MQ34" s="444"/>
      <c r="MR34" s="444"/>
      <c r="MS34" s="444"/>
      <c r="MT34" s="444"/>
      <c r="MU34" s="444"/>
      <c r="MV34" s="444"/>
      <c r="MW34" s="444"/>
      <c r="MX34" s="444"/>
      <c r="MY34" s="444"/>
      <c r="MZ34" s="444"/>
      <c r="NA34" s="444"/>
      <c r="NB34" s="444"/>
      <c r="NC34" s="444"/>
      <c r="ND34" s="444"/>
      <c r="NE34" s="444"/>
      <c r="NF34" s="444"/>
      <c r="NG34" s="444"/>
      <c r="NH34" s="444"/>
      <c r="NI34" s="444"/>
      <c r="NJ34" s="444"/>
      <c r="NK34" s="444"/>
      <c r="NL34" s="444"/>
      <c r="NM34" s="444"/>
      <c r="NN34" s="444"/>
      <c r="NO34" s="444"/>
      <c r="NP34" s="444"/>
      <c r="NQ34" s="444"/>
      <c r="NR34" s="444"/>
      <c r="NS34" s="444"/>
      <c r="NT34" s="444"/>
      <c r="NU34" s="444"/>
      <c r="NV34" s="444"/>
      <c r="NW34" s="444"/>
      <c r="NX34" s="444"/>
      <c r="NY34" s="444"/>
      <c r="NZ34" s="444"/>
      <c r="OA34" s="444"/>
      <c r="OB34" s="444"/>
      <c r="OC34" s="444"/>
      <c r="OD34" s="444"/>
      <c r="OE34" s="444"/>
      <c r="OF34" s="444"/>
      <c r="OG34" s="444"/>
      <c r="OH34" s="444"/>
      <c r="OI34" s="444"/>
      <c r="OJ34" s="444"/>
      <c r="OK34" s="444"/>
      <c r="OL34" s="444"/>
      <c r="OM34" s="444"/>
      <c r="ON34" s="444"/>
      <c r="OO34" s="444"/>
      <c r="OP34" s="444"/>
      <c r="OQ34" s="444"/>
      <c r="OR34" s="444"/>
      <c r="OS34" s="444"/>
      <c r="OT34" s="444"/>
      <c r="OU34" s="444"/>
      <c r="OV34" s="444"/>
      <c r="OW34" s="444"/>
      <c r="OX34" s="444"/>
      <c r="OY34" s="444"/>
      <c r="OZ34" s="444"/>
      <c r="PA34" s="444"/>
      <c r="PB34" s="444"/>
      <c r="PC34" s="444"/>
      <c r="PD34" s="444"/>
      <c r="PE34" s="444"/>
      <c r="PF34" s="444"/>
      <c r="PG34" s="444"/>
      <c r="PH34" s="444"/>
      <c r="PI34" s="444"/>
      <c r="PJ34" s="444"/>
      <c r="PK34" s="444"/>
      <c r="PL34" s="444"/>
      <c r="PM34" s="444"/>
      <c r="PN34" s="444"/>
      <c r="PO34" s="444"/>
      <c r="PP34" s="444"/>
      <c r="PQ34" s="444"/>
      <c r="PR34" s="444"/>
      <c r="PS34" s="444"/>
      <c r="PT34" s="444"/>
      <c r="PU34" s="444"/>
      <c r="PV34" s="444"/>
      <c r="PW34" s="444"/>
      <c r="PX34" s="444"/>
      <c r="PY34" s="444"/>
      <c r="PZ34" s="444"/>
      <c r="QA34" s="444"/>
      <c r="QB34" s="444"/>
      <c r="QC34" s="444"/>
      <c r="QD34" s="444"/>
      <c r="QE34" s="444"/>
      <c r="QF34" s="444"/>
      <c r="QG34" s="444"/>
      <c r="QH34" s="444"/>
      <c r="QI34" s="444"/>
      <c r="QJ34" s="444"/>
      <c r="QK34" s="444"/>
      <c r="QL34" s="444"/>
      <c r="QM34" s="444"/>
      <c r="QN34" s="444"/>
      <c r="QO34" s="444"/>
      <c r="QP34" s="444"/>
      <c r="QQ34" s="444"/>
      <c r="QR34" s="444"/>
      <c r="QS34" s="444"/>
      <c r="QT34" s="444"/>
      <c r="QU34" s="444"/>
      <c r="QV34" s="444"/>
      <c r="QW34" s="444"/>
      <c r="QX34" s="444"/>
      <c r="QY34" s="444"/>
      <c r="QZ34" s="444"/>
      <c r="RA34" s="444"/>
      <c r="RB34" s="444"/>
      <c r="RC34" s="444"/>
      <c r="RD34" s="444"/>
      <c r="RE34" s="444"/>
      <c r="RF34" s="444"/>
      <c r="RG34" s="444"/>
      <c r="RH34" s="444"/>
      <c r="RI34" s="444"/>
      <c r="RJ34" s="444"/>
      <c r="RK34" s="444"/>
      <c r="RL34" s="444"/>
      <c r="RM34" s="444"/>
      <c r="RN34" s="444"/>
      <c r="RO34" s="444"/>
      <c r="RP34" s="444"/>
      <c r="RQ34" s="444"/>
      <c r="RR34" s="444"/>
      <c r="RS34" s="444"/>
      <c r="RT34" s="444"/>
      <c r="RU34" s="444"/>
      <c r="RV34" s="444"/>
      <c r="RW34" s="444"/>
      <c r="RX34" s="444"/>
      <c r="RY34" s="444"/>
      <c r="RZ34" s="444"/>
      <c r="SA34" s="444"/>
      <c r="SB34" s="444"/>
      <c r="SC34" s="444"/>
      <c r="SD34" s="444"/>
      <c r="SE34" s="444"/>
      <c r="SF34" s="444"/>
      <c r="SG34" s="444"/>
      <c r="SH34" s="444"/>
      <c r="SI34" s="444"/>
      <c r="SJ34" s="444"/>
      <c r="SK34" s="444"/>
      <c r="SL34" s="444"/>
      <c r="SM34" s="444"/>
      <c r="SN34" s="444"/>
      <c r="SO34" s="444"/>
      <c r="SP34" s="444"/>
      <c r="SQ34" s="444"/>
      <c r="SR34" s="444"/>
      <c r="SS34" s="444"/>
      <c r="ST34" s="444"/>
      <c r="SU34" s="444"/>
      <c r="SV34" s="444"/>
      <c r="SW34" s="444"/>
      <c r="SX34" s="444"/>
      <c r="SY34" s="444"/>
      <c r="SZ34" s="444"/>
      <c r="TA34" s="444"/>
      <c r="TB34" s="444"/>
      <c r="TC34" s="444"/>
      <c r="TD34" s="444"/>
      <c r="TE34" s="444"/>
      <c r="TF34" s="444"/>
      <c r="TG34" s="444"/>
      <c r="TH34" s="444"/>
      <c r="TI34" s="444"/>
      <c r="TJ34" s="444"/>
      <c r="TK34" s="444"/>
      <c r="TL34" s="444"/>
      <c r="TM34" s="444"/>
      <c r="TN34" s="444"/>
      <c r="TO34" s="444"/>
      <c r="TP34" s="444"/>
      <c r="TQ34" s="444"/>
      <c r="TR34" s="444"/>
      <c r="TS34" s="444"/>
      <c r="TT34" s="444"/>
      <c r="TU34" s="444"/>
      <c r="TV34" s="444"/>
      <c r="TW34" s="444"/>
      <c r="TX34" s="444"/>
      <c r="TY34" s="444"/>
      <c r="TZ34" s="444"/>
      <c r="UA34" s="444"/>
      <c r="UB34" s="444"/>
      <c r="UC34" s="444"/>
      <c r="UD34" s="444"/>
      <c r="UE34" s="444"/>
      <c r="UF34" s="444"/>
      <c r="UG34" s="444"/>
      <c r="UH34" s="444"/>
      <c r="UI34" s="444"/>
      <c r="UJ34" s="444"/>
      <c r="UK34" s="444"/>
      <c r="UL34" s="444"/>
      <c r="UM34" s="444"/>
      <c r="UN34" s="444"/>
      <c r="UO34" s="444"/>
      <c r="UP34" s="444"/>
      <c r="UQ34" s="444"/>
      <c r="UR34" s="444"/>
      <c r="US34" s="444"/>
      <c r="UT34" s="444"/>
      <c r="UU34" s="444"/>
      <c r="UV34" s="444"/>
      <c r="UW34" s="444"/>
      <c r="UX34" s="444"/>
      <c r="UY34" s="444"/>
      <c r="UZ34" s="444"/>
      <c r="VA34" s="444"/>
      <c r="VB34" s="444"/>
      <c r="VC34" s="444"/>
      <c r="VD34" s="444"/>
      <c r="VE34" s="444"/>
      <c r="VF34" s="444"/>
      <c r="VG34" s="444"/>
      <c r="VH34" s="444"/>
      <c r="VI34" s="444"/>
      <c r="VJ34" s="444"/>
      <c r="VK34" s="444"/>
      <c r="VL34" s="444"/>
      <c r="VM34" s="444"/>
      <c r="VN34" s="444"/>
      <c r="VO34" s="444"/>
      <c r="VP34" s="444"/>
      <c r="VQ34" s="444"/>
      <c r="VR34" s="444"/>
      <c r="VS34" s="444"/>
      <c r="VT34" s="444"/>
      <c r="VU34" s="444"/>
      <c r="VV34" s="444"/>
      <c r="VW34" s="444"/>
      <c r="VX34" s="444"/>
      <c r="VY34" s="444"/>
      <c r="VZ34" s="444"/>
      <c r="WA34" s="444"/>
      <c r="WB34" s="444"/>
      <c r="WC34" s="444"/>
      <c r="WD34" s="444"/>
      <c r="WE34" s="444"/>
      <c r="WF34" s="444"/>
    </row>
    <row r="35" spans="1:604" s="498" customFormat="1" ht="63" x14ac:dyDescent="0.2">
      <c r="A35" s="486"/>
      <c r="B35" s="486"/>
      <c r="C35" s="440" t="s">
        <v>697</v>
      </c>
      <c r="D35" s="440" t="s">
        <v>192</v>
      </c>
      <c r="E35" s="441" t="s">
        <v>367</v>
      </c>
      <c r="F35" s="442" t="s">
        <v>621</v>
      </c>
      <c r="G35" s="437">
        <f>'MC-DRE'!P22</f>
        <v>10.36</v>
      </c>
      <c r="H35" s="438" t="s">
        <v>0</v>
      </c>
      <c r="I35" s="479">
        <v>17.77</v>
      </c>
      <c r="J35" s="439">
        <f t="shared" si="1"/>
        <v>22.65</v>
      </c>
      <c r="K35" s="476">
        <f t="shared" si="2"/>
        <v>234.65</v>
      </c>
      <c r="L35" s="478"/>
      <c r="M35" s="478"/>
      <c r="N35" s="499"/>
      <c r="O35" s="499"/>
      <c r="P35" s="499"/>
      <c r="Q35" s="499"/>
      <c r="R35" s="499"/>
      <c r="S35" s="499"/>
      <c r="T35" s="499"/>
      <c r="U35" s="499"/>
      <c r="V35" s="499"/>
      <c r="W35" s="499"/>
      <c r="X35" s="499"/>
      <c r="Y35" s="499"/>
      <c r="Z35" s="499"/>
      <c r="AA35" s="499"/>
      <c r="AB35" s="499"/>
      <c r="AC35" s="499"/>
      <c r="AD35" s="499"/>
      <c r="AE35" s="499"/>
      <c r="AF35" s="499"/>
      <c r="AG35" s="499"/>
      <c r="AH35" s="499"/>
      <c r="AI35" s="499"/>
      <c r="AJ35" s="499"/>
      <c r="AK35" s="499"/>
      <c r="AL35" s="499"/>
      <c r="AM35" s="499"/>
      <c r="AN35" s="499"/>
      <c r="AO35" s="499"/>
      <c r="AP35" s="499"/>
      <c r="AQ35" s="499"/>
      <c r="AR35" s="499"/>
      <c r="AS35" s="499"/>
      <c r="AT35" s="499"/>
      <c r="AU35" s="499"/>
      <c r="AV35" s="499"/>
      <c r="AW35" s="499"/>
      <c r="AX35" s="499"/>
      <c r="AY35" s="499"/>
      <c r="AZ35" s="499"/>
      <c r="BA35" s="499"/>
      <c r="BB35" s="499"/>
      <c r="BC35" s="499"/>
      <c r="BD35" s="499"/>
      <c r="BE35" s="499"/>
      <c r="BF35" s="499"/>
      <c r="BG35" s="499"/>
      <c r="BH35" s="499"/>
      <c r="BI35" s="499"/>
      <c r="BJ35" s="499"/>
      <c r="BK35" s="499"/>
      <c r="BL35" s="499"/>
      <c r="BM35" s="499"/>
      <c r="BN35" s="499"/>
      <c r="BO35" s="499"/>
      <c r="BP35" s="499"/>
      <c r="BQ35" s="499"/>
      <c r="BR35" s="499"/>
      <c r="BS35" s="499"/>
      <c r="BT35" s="499"/>
      <c r="BU35" s="499"/>
      <c r="BV35" s="499"/>
      <c r="BW35" s="499"/>
      <c r="BX35" s="499"/>
      <c r="BY35" s="499"/>
      <c r="BZ35" s="499"/>
      <c r="CA35" s="499"/>
      <c r="CB35" s="499"/>
      <c r="CC35" s="499"/>
      <c r="CD35" s="499"/>
      <c r="CE35" s="499"/>
      <c r="CF35" s="499"/>
      <c r="CG35" s="499"/>
      <c r="CH35" s="499"/>
      <c r="CI35" s="499"/>
      <c r="CJ35" s="499"/>
      <c r="CK35" s="499"/>
      <c r="CL35" s="499"/>
      <c r="CM35" s="499"/>
      <c r="CN35" s="499"/>
      <c r="CO35" s="499"/>
      <c r="CP35" s="499"/>
      <c r="CQ35" s="499"/>
      <c r="CR35" s="499"/>
      <c r="CS35" s="499"/>
      <c r="CT35" s="499"/>
      <c r="CU35" s="499"/>
      <c r="CV35" s="499"/>
      <c r="CW35" s="499"/>
      <c r="CX35" s="499"/>
      <c r="CY35" s="499"/>
      <c r="CZ35" s="499"/>
      <c r="DA35" s="499"/>
      <c r="DB35" s="499"/>
      <c r="DC35" s="499"/>
      <c r="DD35" s="499"/>
      <c r="DE35" s="499"/>
      <c r="DF35" s="499"/>
      <c r="DG35" s="499"/>
      <c r="DH35" s="499"/>
      <c r="DI35" s="499"/>
      <c r="DJ35" s="499"/>
      <c r="DK35" s="499"/>
      <c r="DL35" s="499"/>
      <c r="DM35" s="499"/>
      <c r="DN35" s="499"/>
      <c r="DO35" s="499"/>
      <c r="DP35" s="499"/>
      <c r="DQ35" s="499"/>
      <c r="DR35" s="499"/>
      <c r="DS35" s="499"/>
      <c r="DT35" s="499"/>
      <c r="DU35" s="499"/>
      <c r="DV35" s="499"/>
      <c r="DW35" s="499"/>
      <c r="DX35" s="499"/>
      <c r="DY35" s="499"/>
      <c r="DZ35" s="499"/>
      <c r="EA35" s="499"/>
      <c r="EB35" s="499"/>
      <c r="EC35" s="499"/>
      <c r="ED35" s="499"/>
      <c r="EE35" s="499"/>
      <c r="EF35" s="499"/>
      <c r="EG35" s="499"/>
      <c r="EH35" s="499"/>
      <c r="EI35" s="499"/>
      <c r="EJ35" s="499"/>
      <c r="EK35" s="499"/>
      <c r="EL35" s="499"/>
      <c r="EM35" s="499"/>
      <c r="EN35" s="499"/>
      <c r="EO35" s="499"/>
      <c r="EP35" s="499"/>
      <c r="EQ35" s="499"/>
      <c r="ER35" s="499"/>
      <c r="ES35" s="499"/>
      <c r="ET35" s="499"/>
      <c r="EU35" s="499"/>
      <c r="EV35" s="499"/>
      <c r="EW35" s="499"/>
      <c r="EX35" s="499"/>
      <c r="EY35" s="499"/>
      <c r="EZ35" s="499"/>
      <c r="FA35" s="499"/>
      <c r="FB35" s="499"/>
      <c r="FC35" s="499"/>
      <c r="FD35" s="499"/>
      <c r="FE35" s="499"/>
      <c r="FF35" s="499"/>
      <c r="FG35" s="499"/>
      <c r="FH35" s="499"/>
      <c r="FI35" s="499"/>
      <c r="FJ35" s="499"/>
      <c r="FK35" s="499"/>
      <c r="FL35" s="499"/>
      <c r="FM35" s="499"/>
      <c r="FN35" s="499"/>
      <c r="FO35" s="499"/>
      <c r="FP35" s="499"/>
      <c r="FQ35" s="499"/>
      <c r="FR35" s="499"/>
      <c r="FS35" s="499"/>
      <c r="FT35" s="499"/>
      <c r="FU35" s="499"/>
      <c r="FV35" s="499"/>
      <c r="FW35" s="499"/>
      <c r="FX35" s="499"/>
      <c r="FY35" s="499"/>
      <c r="FZ35" s="499"/>
      <c r="GA35" s="499"/>
      <c r="GB35" s="499"/>
      <c r="GC35" s="499"/>
      <c r="GD35" s="499"/>
      <c r="GE35" s="499"/>
      <c r="GF35" s="499"/>
      <c r="GG35" s="499"/>
      <c r="GH35" s="499"/>
      <c r="GI35" s="499"/>
      <c r="GJ35" s="499"/>
      <c r="GK35" s="499"/>
      <c r="GL35" s="499"/>
      <c r="GM35" s="499"/>
      <c r="GN35" s="499"/>
      <c r="GO35" s="499"/>
      <c r="GP35" s="499"/>
      <c r="GQ35" s="499"/>
      <c r="GR35" s="499"/>
      <c r="GS35" s="499"/>
      <c r="GT35" s="499"/>
      <c r="GU35" s="499"/>
      <c r="GV35" s="499"/>
      <c r="GW35" s="499"/>
      <c r="GX35" s="499"/>
      <c r="GY35" s="499"/>
      <c r="GZ35" s="499"/>
      <c r="HA35" s="499"/>
      <c r="HB35" s="499"/>
      <c r="HC35" s="499"/>
      <c r="HD35" s="499"/>
      <c r="HE35" s="499"/>
      <c r="HF35" s="499"/>
      <c r="HG35" s="499"/>
      <c r="HH35" s="499"/>
      <c r="HI35" s="499"/>
      <c r="HJ35" s="499"/>
      <c r="HK35" s="499"/>
      <c r="HL35" s="499"/>
      <c r="HM35" s="499"/>
      <c r="HN35" s="499"/>
      <c r="HO35" s="499"/>
      <c r="HP35" s="499"/>
      <c r="HQ35" s="499"/>
      <c r="HR35" s="499"/>
      <c r="HS35" s="499"/>
      <c r="HT35" s="499"/>
      <c r="HU35" s="499"/>
      <c r="HV35" s="499"/>
      <c r="HW35" s="499"/>
      <c r="HX35" s="499"/>
      <c r="HY35" s="499"/>
      <c r="HZ35" s="499"/>
      <c r="IA35" s="499"/>
      <c r="IB35" s="499"/>
      <c r="IC35" s="499"/>
      <c r="ID35" s="499"/>
      <c r="IE35" s="499"/>
      <c r="IF35" s="499"/>
      <c r="IG35" s="499"/>
      <c r="IH35" s="499"/>
      <c r="II35" s="499"/>
      <c r="IJ35" s="499"/>
      <c r="IK35" s="499"/>
      <c r="IL35" s="499"/>
      <c r="IM35" s="499"/>
      <c r="IN35" s="499"/>
      <c r="IO35" s="499"/>
      <c r="IP35" s="499"/>
      <c r="IQ35" s="499"/>
      <c r="IR35" s="499"/>
      <c r="IS35" s="499"/>
      <c r="IT35" s="499"/>
      <c r="IU35" s="499"/>
      <c r="IV35" s="499"/>
      <c r="IW35" s="499"/>
      <c r="IX35" s="499"/>
      <c r="IY35" s="499"/>
      <c r="IZ35" s="499"/>
      <c r="JA35" s="499"/>
      <c r="JB35" s="499"/>
      <c r="JC35" s="499"/>
      <c r="JD35" s="499"/>
      <c r="JE35" s="499"/>
      <c r="JF35" s="499"/>
      <c r="JG35" s="499"/>
      <c r="JH35" s="499"/>
      <c r="JI35" s="499"/>
      <c r="JJ35" s="499"/>
      <c r="JK35" s="499"/>
      <c r="JL35" s="499"/>
      <c r="JM35" s="499"/>
      <c r="JN35" s="499"/>
      <c r="JO35" s="499"/>
      <c r="JP35" s="499"/>
      <c r="JQ35" s="499"/>
      <c r="JR35" s="499"/>
      <c r="JS35" s="499"/>
      <c r="JT35" s="499"/>
      <c r="JU35" s="499"/>
      <c r="JV35" s="499"/>
      <c r="JW35" s="499"/>
      <c r="JX35" s="499"/>
      <c r="JY35" s="499"/>
      <c r="JZ35" s="499"/>
      <c r="KA35" s="499"/>
      <c r="KB35" s="499"/>
      <c r="KC35" s="499"/>
      <c r="KD35" s="499"/>
      <c r="KE35" s="499"/>
      <c r="KF35" s="499"/>
      <c r="KG35" s="499"/>
      <c r="KH35" s="499"/>
      <c r="KI35" s="499"/>
      <c r="KJ35" s="499"/>
      <c r="KK35" s="499"/>
      <c r="KL35" s="499"/>
      <c r="KM35" s="499"/>
      <c r="KN35" s="499"/>
      <c r="KO35" s="499"/>
      <c r="KP35" s="499"/>
      <c r="KQ35" s="499"/>
      <c r="KR35" s="499"/>
      <c r="KS35" s="499"/>
      <c r="KT35" s="499"/>
      <c r="KU35" s="499"/>
      <c r="KV35" s="499"/>
      <c r="KW35" s="499"/>
      <c r="KX35" s="499"/>
      <c r="KY35" s="499"/>
      <c r="KZ35" s="499"/>
      <c r="LA35" s="499"/>
      <c r="LB35" s="499"/>
      <c r="LC35" s="499"/>
      <c r="LD35" s="499"/>
      <c r="LE35" s="499"/>
      <c r="LF35" s="499"/>
      <c r="LG35" s="499"/>
      <c r="LH35" s="499"/>
      <c r="LI35" s="499"/>
      <c r="LJ35" s="499"/>
      <c r="LK35" s="499"/>
      <c r="LL35" s="499"/>
      <c r="LM35" s="499"/>
      <c r="LN35" s="499"/>
      <c r="LO35" s="499"/>
      <c r="LP35" s="499"/>
      <c r="LQ35" s="499"/>
      <c r="LR35" s="499"/>
      <c r="LS35" s="499"/>
      <c r="LT35" s="499"/>
      <c r="LU35" s="499"/>
      <c r="LV35" s="499"/>
      <c r="LW35" s="499"/>
      <c r="LX35" s="499"/>
      <c r="LY35" s="499"/>
      <c r="LZ35" s="499"/>
      <c r="MA35" s="499"/>
      <c r="MB35" s="499"/>
      <c r="MC35" s="499"/>
      <c r="MD35" s="499"/>
      <c r="ME35" s="499"/>
      <c r="MF35" s="499"/>
      <c r="MG35" s="499"/>
      <c r="MH35" s="499"/>
      <c r="MI35" s="499"/>
      <c r="MJ35" s="499"/>
      <c r="MK35" s="499"/>
      <c r="ML35" s="499"/>
      <c r="MM35" s="499"/>
      <c r="MN35" s="499"/>
      <c r="MO35" s="499"/>
      <c r="MP35" s="499"/>
      <c r="MQ35" s="499"/>
      <c r="MR35" s="499"/>
      <c r="MS35" s="499"/>
      <c r="MT35" s="499"/>
      <c r="MU35" s="499"/>
      <c r="MV35" s="499"/>
      <c r="MW35" s="499"/>
      <c r="MX35" s="499"/>
      <c r="MY35" s="499"/>
      <c r="MZ35" s="499"/>
      <c r="NA35" s="499"/>
      <c r="NB35" s="499"/>
      <c r="NC35" s="499"/>
      <c r="ND35" s="499"/>
      <c r="NE35" s="499"/>
      <c r="NF35" s="499"/>
      <c r="NG35" s="499"/>
      <c r="NH35" s="499"/>
      <c r="NI35" s="499"/>
      <c r="NJ35" s="499"/>
      <c r="NK35" s="499"/>
      <c r="NL35" s="499"/>
      <c r="NM35" s="499"/>
      <c r="NN35" s="499"/>
      <c r="NO35" s="499"/>
      <c r="NP35" s="499"/>
      <c r="NQ35" s="499"/>
      <c r="NR35" s="499"/>
      <c r="NS35" s="499"/>
      <c r="NT35" s="499"/>
      <c r="NU35" s="499"/>
      <c r="NV35" s="499"/>
      <c r="NW35" s="499"/>
      <c r="NX35" s="499"/>
      <c r="NY35" s="499"/>
      <c r="NZ35" s="499"/>
      <c r="OA35" s="499"/>
      <c r="OB35" s="499"/>
      <c r="OC35" s="499"/>
      <c r="OD35" s="499"/>
      <c r="OE35" s="499"/>
      <c r="OF35" s="499"/>
      <c r="OG35" s="499"/>
      <c r="OH35" s="499"/>
      <c r="OI35" s="499"/>
      <c r="OJ35" s="499"/>
      <c r="OK35" s="499"/>
      <c r="OL35" s="499"/>
      <c r="OM35" s="499"/>
      <c r="ON35" s="499"/>
      <c r="OO35" s="499"/>
      <c r="OP35" s="499"/>
      <c r="OQ35" s="499"/>
      <c r="OR35" s="499"/>
      <c r="OS35" s="499"/>
      <c r="OT35" s="499"/>
      <c r="OU35" s="499"/>
      <c r="OV35" s="499"/>
      <c r="OW35" s="499"/>
      <c r="OX35" s="499"/>
      <c r="OY35" s="499"/>
      <c r="OZ35" s="499"/>
      <c r="PA35" s="499"/>
      <c r="PB35" s="499"/>
      <c r="PC35" s="499"/>
      <c r="PD35" s="499"/>
      <c r="PE35" s="499"/>
      <c r="PF35" s="499"/>
      <c r="PG35" s="499"/>
      <c r="PH35" s="499"/>
      <c r="PI35" s="499"/>
      <c r="PJ35" s="499"/>
      <c r="PK35" s="499"/>
      <c r="PL35" s="499"/>
      <c r="PM35" s="499"/>
      <c r="PN35" s="499"/>
      <c r="PO35" s="499"/>
      <c r="PP35" s="499"/>
      <c r="PQ35" s="499"/>
      <c r="PR35" s="499"/>
      <c r="PS35" s="499"/>
      <c r="PT35" s="499"/>
      <c r="PU35" s="499"/>
      <c r="PV35" s="499"/>
      <c r="PW35" s="499"/>
      <c r="PX35" s="499"/>
      <c r="PY35" s="499"/>
      <c r="PZ35" s="499"/>
      <c r="QA35" s="499"/>
      <c r="QB35" s="499"/>
      <c r="QC35" s="499"/>
      <c r="QD35" s="499"/>
      <c r="QE35" s="499"/>
      <c r="QF35" s="499"/>
      <c r="QG35" s="499"/>
      <c r="QH35" s="499"/>
      <c r="QI35" s="499"/>
      <c r="QJ35" s="499"/>
      <c r="QK35" s="499"/>
      <c r="QL35" s="499"/>
      <c r="QM35" s="499"/>
      <c r="QN35" s="499"/>
      <c r="QO35" s="499"/>
      <c r="QP35" s="499"/>
      <c r="QQ35" s="499"/>
      <c r="QR35" s="499"/>
      <c r="QS35" s="499"/>
      <c r="QT35" s="499"/>
      <c r="QU35" s="499"/>
      <c r="QV35" s="499"/>
      <c r="QW35" s="499"/>
      <c r="QX35" s="499"/>
      <c r="QY35" s="499"/>
      <c r="QZ35" s="499"/>
      <c r="RA35" s="499"/>
      <c r="RB35" s="499"/>
      <c r="RC35" s="499"/>
      <c r="RD35" s="499"/>
      <c r="RE35" s="499"/>
      <c r="RF35" s="499"/>
      <c r="RG35" s="499"/>
      <c r="RH35" s="499"/>
      <c r="RI35" s="499"/>
      <c r="RJ35" s="499"/>
      <c r="RK35" s="499"/>
      <c r="RL35" s="499"/>
      <c r="RM35" s="499"/>
      <c r="RN35" s="499"/>
      <c r="RO35" s="499"/>
      <c r="RP35" s="499"/>
      <c r="RQ35" s="499"/>
      <c r="RR35" s="499"/>
      <c r="RS35" s="499"/>
      <c r="RT35" s="499"/>
      <c r="RU35" s="499"/>
      <c r="RV35" s="499"/>
      <c r="RW35" s="499"/>
      <c r="RX35" s="499"/>
      <c r="RY35" s="499"/>
      <c r="RZ35" s="499"/>
      <c r="SA35" s="499"/>
      <c r="SB35" s="499"/>
      <c r="SC35" s="499"/>
      <c r="SD35" s="499"/>
      <c r="SE35" s="499"/>
      <c r="SF35" s="499"/>
      <c r="SG35" s="499"/>
      <c r="SH35" s="499"/>
      <c r="SI35" s="499"/>
      <c r="SJ35" s="499"/>
      <c r="SK35" s="499"/>
      <c r="SL35" s="499"/>
      <c r="SM35" s="499"/>
      <c r="SN35" s="499"/>
      <c r="SO35" s="499"/>
      <c r="SP35" s="499"/>
      <c r="SQ35" s="499"/>
      <c r="SR35" s="499"/>
      <c r="SS35" s="499"/>
      <c r="ST35" s="499"/>
      <c r="SU35" s="499"/>
      <c r="SV35" s="499"/>
      <c r="SW35" s="499"/>
      <c r="SX35" s="499"/>
      <c r="SY35" s="499"/>
      <c r="SZ35" s="499"/>
      <c r="TA35" s="499"/>
      <c r="TB35" s="499"/>
      <c r="TC35" s="499"/>
      <c r="TD35" s="499"/>
      <c r="TE35" s="499"/>
      <c r="TF35" s="499"/>
      <c r="TG35" s="499"/>
      <c r="TH35" s="499"/>
      <c r="TI35" s="499"/>
      <c r="TJ35" s="499"/>
      <c r="TK35" s="499"/>
      <c r="TL35" s="499"/>
      <c r="TM35" s="499"/>
      <c r="TN35" s="499"/>
      <c r="TO35" s="499"/>
      <c r="TP35" s="499"/>
      <c r="TQ35" s="499"/>
      <c r="TR35" s="499"/>
      <c r="TS35" s="499"/>
      <c r="TT35" s="499"/>
      <c r="TU35" s="499"/>
      <c r="TV35" s="499"/>
      <c r="TW35" s="499"/>
      <c r="TX35" s="499"/>
      <c r="TY35" s="499"/>
      <c r="TZ35" s="499"/>
      <c r="UA35" s="499"/>
      <c r="UB35" s="499"/>
      <c r="UC35" s="499"/>
      <c r="UD35" s="499"/>
      <c r="UE35" s="499"/>
      <c r="UF35" s="499"/>
      <c r="UG35" s="499"/>
      <c r="UH35" s="499"/>
      <c r="UI35" s="499"/>
      <c r="UJ35" s="499"/>
      <c r="UK35" s="499"/>
      <c r="UL35" s="499"/>
      <c r="UM35" s="499"/>
      <c r="UN35" s="499"/>
      <c r="UO35" s="499"/>
      <c r="UP35" s="499"/>
      <c r="UQ35" s="499"/>
      <c r="UR35" s="499"/>
      <c r="US35" s="499"/>
      <c r="UT35" s="499"/>
      <c r="UU35" s="499"/>
      <c r="UV35" s="499"/>
      <c r="UW35" s="499"/>
      <c r="UX35" s="499"/>
      <c r="UY35" s="499"/>
      <c r="UZ35" s="499"/>
      <c r="VA35" s="499"/>
      <c r="VB35" s="499"/>
      <c r="VC35" s="499"/>
      <c r="VD35" s="499"/>
      <c r="VE35" s="499"/>
      <c r="VF35" s="499"/>
      <c r="VG35" s="499"/>
      <c r="VH35" s="499"/>
      <c r="VI35" s="499"/>
      <c r="VJ35" s="499"/>
      <c r="VK35" s="499"/>
      <c r="VL35" s="499"/>
      <c r="VM35" s="499"/>
      <c r="VN35" s="499"/>
      <c r="VO35" s="499"/>
      <c r="VP35" s="499"/>
      <c r="VQ35" s="499"/>
      <c r="VR35" s="499"/>
      <c r="VS35" s="499"/>
      <c r="VT35" s="499"/>
      <c r="VU35" s="499"/>
      <c r="VV35" s="499"/>
      <c r="VW35" s="499"/>
      <c r="VX35" s="499"/>
      <c r="VY35" s="499"/>
      <c r="VZ35" s="499"/>
      <c r="WA35" s="499"/>
      <c r="WB35" s="499"/>
      <c r="WC35" s="499"/>
      <c r="WD35" s="499"/>
      <c r="WE35" s="499"/>
      <c r="WF35" s="499"/>
    </row>
    <row r="36" spans="1:604" s="498" customFormat="1" ht="45" hidden="1" customHeight="1" x14ac:dyDescent="0.2">
      <c r="A36" s="486"/>
      <c r="B36" s="486"/>
      <c r="C36" s="440" t="s">
        <v>698</v>
      </c>
      <c r="D36" s="450" t="s">
        <v>192</v>
      </c>
      <c r="E36" s="435">
        <v>101579</v>
      </c>
      <c r="F36" s="442" t="s">
        <v>620</v>
      </c>
      <c r="G36" s="437">
        <f>'MC-DRE'!Q22</f>
        <v>0</v>
      </c>
      <c r="H36" s="437" t="s">
        <v>2</v>
      </c>
      <c r="I36" s="479">
        <v>35.28</v>
      </c>
      <c r="J36" s="439">
        <f t="shared" si="1"/>
        <v>44.97</v>
      </c>
      <c r="K36" s="476">
        <f t="shared" si="2"/>
        <v>0</v>
      </c>
      <c r="L36" s="478"/>
      <c r="M36" s="478"/>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c r="AK36" s="499"/>
      <c r="AL36" s="499"/>
      <c r="AM36" s="499"/>
      <c r="AN36" s="499"/>
      <c r="AO36" s="499"/>
      <c r="AP36" s="499"/>
      <c r="AQ36" s="499"/>
      <c r="AR36" s="499"/>
      <c r="AS36" s="499"/>
      <c r="AT36" s="499"/>
      <c r="AU36" s="499"/>
      <c r="AV36" s="499"/>
      <c r="AW36" s="499"/>
      <c r="AX36" s="499"/>
      <c r="AY36" s="499"/>
      <c r="AZ36" s="499"/>
      <c r="BA36" s="499"/>
      <c r="BB36" s="499"/>
      <c r="BC36" s="499"/>
      <c r="BD36" s="499"/>
      <c r="BE36" s="499"/>
      <c r="BF36" s="499"/>
      <c r="BG36" s="499"/>
      <c r="BH36" s="499"/>
      <c r="BI36" s="499"/>
      <c r="BJ36" s="499"/>
      <c r="BK36" s="499"/>
      <c r="BL36" s="499"/>
      <c r="BM36" s="499"/>
      <c r="BN36" s="499"/>
      <c r="BO36" s="499"/>
      <c r="BP36" s="499"/>
      <c r="BQ36" s="499"/>
      <c r="BR36" s="499"/>
      <c r="BS36" s="499"/>
      <c r="BT36" s="499"/>
      <c r="BU36" s="499"/>
      <c r="BV36" s="499"/>
      <c r="BW36" s="499"/>
      <c r="BX36" s="499"/>
      <c r="BY36" s="499"/>
      <c r="BZ36" s="499"/>
      <c r="CA36" s="499"/>
      <c r="CB36" s="499"/>
      <c r="CC36" s="499"/>
      <c r="CD36" s="499"/>
      <c r="CE36" s="499"/>
      <c r="CF36" s="499"/>
      <c r="CG36" s="499"/>
      <c r="CH36" s="499"/>
      <c r="CI36" s="499"/>
      <c r="CJ36" s="499"/>
      <c r="CK36" s="499"/>
      <c r="CL36" s="499"/>
      <c r="CM36" s="499"/>
      <c r="CN36" s="499"/>
      <c r="CO36" s="499"/>
      <c r="CP36" s="499"/>
      <c r="CQ36" s="499"/>
      <c r="CR36" s="499"/>
      <c r="CS36" s="499"/>
      <c r="CT36" s="499"/>
      <c r="CU36" s="499"/>
      <c r="CV36" s="499"/>
      <c r="CW36" s="499"/>
      <c r="CX36" s="499"/>
      <c r="CY36" s="499"/>
      <c r="CZ36" s="499"/>
      <c r="DA36" s="499"/>
      <c r="DB36" s="499"/>
      <c r="DC36" s="499"/>
      <c r="DD36" s="499"/>
      <c r="DE36" s="499"/>
      <c r="DF36" s="499"/>
      <c r="DG36" s="499"/>
      <c r="DH36" s="499"/>
      <c r="DI36" s="499"/>
      <c r="DJ36" s="499"/>
      <c r="DK36" s="499"/>
      <c r="DL36" s="499"/>
      <c r="DM36" s="499"/>
      <c r="DN36" s="499"/>
      <c r="DO36" s="499"/>
      <c r="DP36" s="499"/>
      <c r="DQ36" s="499"/>
      <c r="DR36" s="499"/>
      <c r="DS36" s="499"/>
      <c r="DT36" s="499"/>
      <c r="DU36" s="499"/>
      <c r="DV36" s="499"/>
      <c r="DW36" s="499"/>
      <c r="DX36" s="499"/>
      <c r="DY36" s="499"/>
      <c r="DZ36" s="499"/>
      <c r="EA36" s="499"/>
      <c r="EB36" s="499"/>
      <c r="EC36" s="499"/>
      <c r="ED36" s="499"/>
      <c r="EE36" s="499"/>
      <c r="EF36" s="499"/>
      <c r="EG36" s="499"/>
      <c r="EH36" s="499"/>
      <c r="EI36" s="499"/>
      <c r="EJ36" s="499"/>
      <c r="EK36" s="499"/>
      <c r="EL36" s="499"/>
      <c r="EM36" s="499"/>
      <c r="EN36" s="499"/>
      <c r="EO36" s="499"/>
      <c r="EP36" s="499"/>
      <c r="EQ36" s="499"/>
      <c r="ER36" s="499"/>
      <c r="ES36" s="499"/>
      <c r="ET36" s="499"/>
      <c r="EU36" s="499"/>
      <c r="EV36" s="499"/>
      <c r="EW36" s="499"/>
      <c r="EX36" s="499"/>
      <c r="EY36" s="499"/>
      <c r="EZ36" s="499"/>
      <c r="FA36" s="499"/>
      <c r="FB36" s="499"/>
      <c r="FC36" s="499"/>
      <c r="FD36" s="499"/>
      <c r="FE36" s="499"/>
      <c r="FF36" s="499"/>
      <c r="FG36" s="499"/>
      <c r="FH36" s="499"/>
      <c r="FI36" s="499"/>
      <c r="FJ36" s="499"/>
      <c r="FK36" s="499"/>
      <c r="FL36" s="499"/>
      <c r="FM36" s="499"/>
      <c r="FN36" s="499"/>
      <c r="FO36" s="499"/>
      <c r="FP36" s="499"/>
      <c r="FQ36" s="499"/>
      <c r="FR36" s="499"/>
      <c r="FS36" s="499"/>
      <c r="FT36" s="499"/>
      <c r="FU36" s="499"/>
      <c r="FV36" s="499"/>
      <c r="FW36" s="499"/>
      <c r="FX36" s="499"/>
      <c r="FY36" s="499"/>
      <c r="FZ36" s="499"/>
      <c r="GA36" s="499"/>
      <c r="GB36" s="499"/>
      <c r="GC36" s="499"/>
      <c r="GD36" s="499"/>
      <c r="GE36" s="499"/>
      <c r="GF36" s="499"/>
      <c r="GG36" s="499"/>
      <c r="GH36" s="499"/>
      <c r="GI36" s="499"/>
      <c r="GJ36" s="499"/>
      <c r="GK36" s="499"/>
      <c r="GL36" s="499"/>
      <c r="GM36" s="499"/>
      <c r="GN36" s="499"/>
      <c r="GO36" s="499"/>
      <c r="GP36" s="499"/>
      <c r="GQ36" s="499"/>
      <c r="GR36" s="499"/>
      <c r="GS36" s="499"/>
      <c r="GT36" s="499"/>
      <c r="GU36" s="499"/>
      <c r="GV36" s="499"/>
      <c r="GW36" s="499"/>
      <c r="GX36" s="499"/>
      <c r="GY36" s="499"/>
      <c r="GZ36" s="499"/>
      <c r="HA36" s="499"/>
      <c r="HB36" s="499"/>
      <c r="HC36" s="499"/>
      <c r="HD36" s="499"/>
      <c r="HE36" s="499"/>
      <c r="HF36" s="499"/>
      <c r="HG36" s="499"/>
      <c r="HH36" s="499"/>
      <c r="HI36" s="499"/>
      <c r="HJ36" s="499"/>
      <c r="HK36" s="499"/>
      <c r="HL36" s="499"/>
      <c r="HM36" s="499"/>
      <c r="HN36" s="499"/>
      <c r="HO36" s="499"/>
      <c r="HP36" s="499"/>
      <c r="HQ36" s="499"/>
      <c r="HR36" s="499"/>
      <c r="HS36" s="499"/>
      <c r="HT36" s="499"/>
      <c r="HU36" s="499"/>
      <c r="HV36" s="499"/>
      <c r="HW36" s="499"/>
      <c r="HX36" s="499"/>
      <c r="HY36" s="499"/>
      <c r="HZ36" s="499"/>
      <c r="IA36" s="499"/>
      <c r="IB36" s="499"/>
      <c r="IC36" s="499"/>
      <c r="ID36" s="499"/>
      <c r="IE36" s="499"/>
      <c r="IF36" s="499"/>
      <c r="IG36" s="499"/>
      <c r="IH36" s="499"/>
      <c r="II36" s="499"/>
      <c r="IJ36" s="499"/>
      <c r="IK36" s="499"/>
      <c r="IL36" s="499"/>
      <c r="IM36" s="499"/>
      <c r="IN36" s="499"/>
      <c r="IO36" s="499"/>
      <c r="IP36" s="499"/>
      <c r="IQ36" s="499"/>
      <c r="IR36" s="499"/>
      <c r="IS36" s="499"/>
      <c r="IT36" s="499"/>
      <c r="IU36" s="499"/>
      <c r="IV36" s="499"/>
      <c r="IW36" s="499"/>
      <c r="IX36" s="499"/>
      <c r="IY36" s="499"/>
      <c r="IZ36" s="499"/>
      <c r="JA36" s="499"/>
      <c r="JB36" s="499"/>
      <c r="JC36" s="499"/>
      <c r="JD36" s="499"/>
      <c r="JE36" s="499"/>
      <c r="JF36" s="499"/>
      <c r="JG36" s="499"/>
      <c r="JH36" s="499"/>
      <c r="JI36" s="499"/>
      <c r="JJ36" s="499"/>
      <c r="JK36" s="499"/>
      <c r="JL36" s="499"/>
      <c r="JM36" s="499"/>
      <c r="JN36" s="499"/>
      <c r="JO36" s="499"/>
      <c r="JP36" s="499"/>
      <c r="JQ36" s="499"/>
      <c r="JR36" s="499"/>
      <c r="JS36" s="499"/>
      <c r="JT36" s="499"/>
      <c r="JU36" s="499"/>
      <c r="JV36" s="499"/>
      <c r="JW36" s="499"/>
      <c r="JX36" s="499"/>
      <c r="JY36" s="499"/>
      <c r="JZ36" s="499"/>
      <c r="KA36" s="499"/>
      <c r="KB36" s="499"/>
      <c r="KC36" s="499"/>
      <c r="KD36" s="499"/>
      <c r="KE36" s="499"/>
      <c r="KF36" s="499"/>
      <c r="KG36" s="499"/>
      <c r="KH36" s="499"/>
      <c r="KI36" s="499"/>
      <c r="KJ36" s="499"/>
      <c r="KK36" s="499"/>
      <c r="KL36" s="499"/>
      <c r="KM36" s="499"/>
      <c r="KN36" s="499"/>
      <c r="KO36" s="499"/>
      <c r="KP36" s="499"/>
      <c r="KQ36" s="499"/>
      <c r="KR36" s="499"/>
      <c r="KS36" s="499"/>
      <c r="KT36" s="499"/>
      <c r="KU36" s="499"/>
      <c r="KV36" s="499"/>
      <c r="KW36" s="499"/>
      <c r="KX36" s="499"/>
      <c r="KY36" s="499"/>
      <c r="KZ36" s="499"/>
      <c r="LA36" s="499"/>
      <c r="LB36" s="499"/>
      <c r="LC36" s="499"/>
      <c r="LD36" s="499"/>
      <c r="LE36" s="499"/>
      <c r="LF36" s="499"/>
      <c r="LG36" s="499"/>
      <c r="LH36" s="499"/>
      <c r="LI36" s="499"/>
      <c r="LJ36" s="499"/>
      <c r="LK36" s="499"/>
      <c r="LL36" s="499"/>
      <c r="LM36" s="499"/>
      <c r="LN36" s="499"/>
      <c r="LO36" s="499"/>
      <c r="LP36" s="499"/>
      <c r="LQ36" s="499"/>
      <c r="LR36" s="499"/>
      <c r="LS36" s="499"/>
      <c r="LT36" s="499"/>
      <c r="LU36" s="499"/>
      <c r="LV36" s="499"/>
      <c r="LW36" s="499"/>
      <c r="LX36" s="499"/>
      <c r="LY36" s="499"/>
      <c r="LZ36" s="499"/>
      <c r="MA36" s="499"/>
      <c r="MB36" s="499"/>
      <c r="MC36" s="499"/>
      <c r="MD36" s="499"/>
      <c r="ME36" s="499"/>
      <c r="MF36" s="499"/>
      <c r="MG36" s="499"/>
      <c r="MH36" s="499"/>
      <c r="MI36" s="499"/>
      <c r="MJ36" s="499"/>
      <c r="MK36" s="499"/>
      <c r="ML36" s="499"/>
      <c r="MM36" s="499"/>
      <c r="MN36" s="499"/>
      <c r="MO36" s="499"/>
      <c r="MP36" s="499"/>
      <c r="MQ36" s="499"/>
      <c r="MR36" s="499"/>
      <c r="MS36" s="499"/>
      <c r="MT36" s="499"/>
      <c r="MU36" s="499"/>
      <c r="MV36" s="499"/>
      <c r="MW36" s="499"/>
      <c r="MX36" s="499"/>
      <c r="MY36" s="499"/>
      <c r="MZ36" s="499"/>
      <c r="NA36" s="499"/>
      <c r="NB36" s="499"/>
      <c r="NC36" s="499"/>
      <c r="ND36" s="499"/>
      <c r="NE36" s="499"/>
      <c r="NF36" s="499"/>
      <c r="NG36" s="499"/>
      <c r="NH36" s="499"/>
      <c r="NI36" s="499"/>
      <c r="NJ36" s="499"/>
      <c r="NK36" s="499"/>
      <c r="NL36" s="499"/>
      <c r="NM36" s="499"/>
      <c r="NN36" s="499"/>
      <c r="NO36" s="499"/>
      <c r="NP36" s="499"/>
      <c r="NQ36" s="499"/>
      <c r="NR36" s="499"/>
      <c r="NS36" s="499"/>
      <c r="NT36" s="499"/>
      <c r="NU36" s="499"/>
      <c r="NV36" s="499"/>
      <c r="NW36" s="499"/>
      <c r="NX36" s="499"/>
      <c r="NY36" s="499"/>
      <c r="NZ36" s="499"/>
      <c r="OA36" s="499"/>
      <c r="OB36" s="499"/>
      <c r="OC36" s="499"/>
      <c r="OD36" s="499"/>
      <c r="OE36" s="499"/>
      <c r="OF36" s="499"/>
      <c r="OG36" s="499"/>
      <c r="OH36" s="499"/>
      <c r="OI36" s="499"/>
      <c r="OJ36" s="499"/>
      <c r="OK36" s="499"/>
      <c r="OL36" s="499"/>
      <c r="OM36" s="499"/>
      <c r="ON36" s="499"/>
      <c r="OO36" s="499"/>
      <c r="OP36" s="499"/>
      <c r="OQ36" s="499"/>
      <c r="OR36" s="499"/>
      <c r="OS36" s="499"/>
      <c r="OT36" s="499"/>
      <c r="OU36" s="499"/>
      <c r="OV36" s="499"/>
      <c r="OW36" s="499"/>
      <c r="OX36" s="499"/>
      <c r="OY36" s="499"/>
      <c r="OZ36" s="499"/>
      <c r="PA36" s="499"/>
      <c r="PB36" s="499"/>
      <c r="PC36" s="499"/>
      <c r="PD36" s="499"/>
      <c r="PE36" s="499"/>
      <c r="PF36" s="499"/>
      <c r="PG36" s="499"/>
      <c r="PH36" s="499"/>
      <c r="PI36" s="499"/>
      <c r="PJ36" s="499"/>
      <c r="PK36" s="499"/>
      <c r="PL36" s="499"/>
      <c r="PM36" s="499"/>
      <c r="PN36" s="499"/>
      <c r="PO36" s="499"/>
      <c r="PP36" s="499"/>
      <c r="PQ36" s="499"/>
      <c r="PR36" s="499"/>
      <c r="PS36" s="499"/>
      <c r="PT36" s="499"/>
      <c r="PU36" s="499"/>
      <c r="PV36" s="499"/>
      <c r="PW36" s="499"/>
      <c r="PX36" s="499"/>
      <c r="PY36" s="499"/>
      <c r="PZ36" s="499"/>
      <c r="QA36" s="499"/>
      <c r="QB36" s="499"/>
      <c r="QC36" s="499"/>
      <c r="QD36" s="499"/>
      <c r="QE36" s="499"/>
      <c r="QF36" s="499"/>
      <c r="QG36" s="499"/>
      <c r="QH36" s="499"/>
      <c r="QI36" s="499"/>
      <c r="QJ36" s="499"/>
      <c r="QK36" s="499"/>
      <c r="QL36" s="499"/>
      <c r="QM36" s="499"/>
      <c r="QN36" s="499"/>
      <c r="QO36" s="499"/>
      <c r="QP36" s="499"/>
      <c r="QQ36" s="499"/>
      <c r="QR36" s="499"/>
      <c r="QS36" s="499"/>
      <c r="QT36" s="499"/>
      <c r="QU36" s="499"/>
      <c r="QV36" s="499"/>
      <c r="QW36" s="499"/>
      <c r="QX36" s="499"/>
      <c r="QY36" s="499"/>
      <c r="QZ36" s="499"/>
      <c r="RA36" s="499"/>
      <c r="RB36" s="499"/>
      <c r="RC36" s="499"/>
      <c r="RD36" s="499"/>
      <c r="RE36" s="499"/>
      <c r="RF36" s="499"/>
      <c r="RG36" s="499"/>
      <c r="RH36" s="499"/>
      <c r="RI36" s="499"/>
      <c r="RJ36" s="499"/>
      <c r="RK36" s="499"/>
      <c r="RL36" s="499"/>
      <c r="RM36" s="499"/>
      <c r="RN36" s="499"/>
      <c r="RO36" s="499"/>
      <c r="RP36" s="499"/>
      <c r="RQ36" s="499"/>
      <c r="RR36" s="499"/>
      <c r="RS36" s="499"/>
      <c r="RT36" s="499"/>
      <c r="RU36" s="499"/>
      <c r="RV36" s="499"/>
      <c r="RW36" s="499"/>
      <c r="RX36" s="499"/>
      <c r="RY36" s="499"/>
      <c r="RZ36" s="499"/>
      <c r="SA36" s="499"/>
      <c r="SB36" s="499"/>
      <c r="SC36" s="499"/>
      <c r="SD36" s="499"/>
      <c r="SE36" s="499"/>
      <c r="SF36" s="499"/>
      <c r="SG36" s="499"/>
      <c r="SH36" s="499"/>
      <c r="SI36" s="499"/>
      <c r="SJ36" s="499"/>
      <c r="SK36" s="499"/>
      <c r="SL36" s="499"/>
      <c r="SM36" s="499"/>
      <c r="SN36" s="499"/>
      <c r="SO36" s="499"/>
      <c r="SP36" s="499"/>
      <c r="SQ36" s="499"/>
      <c r="SR36" s="499"/>
      <c r="SS36" s="499"/>
      <c r="ST36" s="499"/>
      <c r="SU36" s="499"/>
      <c r="SV36" s="499"/>
      <c r="SW36" s="499"/>
      <c r="SX36" s="499"/>
      <c r="SY36" s="499"/>
      <c r="SZ36" s="499"/>
      <c r="TA36" s="499"/>
      <c r="TB36" s="499"/>
      <c r="TC36" s="499"/>
      <c r="TD36" s="499"/>
      <c r="TE36" s="499"/>
      <c r="TF36" s="499"/>
      <c r="TG36" s="499"/>
      <c r="TH36" s="499"/>
      <c r="TI36" s="499"/>
      <c r="TJ36" s="499"/>
      <c r="TK36" s="499"/>
      <c r="TL36" s="499"/>
      <c r="TM36" s="499"/>
      <c r="TN36" s="499"/>
      <c r="TO36" s="499"/>
      <c r="TP36" s="499"/>
      <c r="TQ36" s="499"/>
      <c r="TR36" s="499"/>
      <c r="TS36" s="499"/>
      <c r="TT36" s="499"/>
      <c r="TU36" s="499"/>
      <c r="TV36" s="499"/>
      <c r="TW36" s="499"/>
      <c r="TX36" s="499"/>
      <c r="TY36" s="499"/>
      <c r="TZ36" s="499"/>
      <c r="UA36" s="499"/>
      <c r="UB36" s="499"/>
      <c r="UC36" s="499"/>
      <c r="UD36" s="499"/>
      <c r="UE36" s="499"/>
      <c r="UF36" s="499"/>
      <c r="UG36" s="499"/>
      <c r="UH36" s="499"/>
      <c r="UI36" s="499"/>
      <c r="UJ36" s="499"/>
      <c r="UK36" s="499"/>
      <c r="UL36" s="499"/>
      <c r="UM36" s="499"/>
      <c r="UN36" s="499"/>
      <c r="UO36" s="499"/>
      <c r="UP36" s="499"/>
      <c r="UQ36" s="499"/>
      <c r="UR36" s="499"/>
      <c r="US36" s="499"/>
      <c r="UT36" s="499"/>
      <c r="UU36" s="499"/>
      <c r="UV36" s="499"/>
      <c r="UW36" s="499"/>
      <c r="UX36" s="499"/>
      <c r="UY36" s="499"/>
      <c r="UZ36" s="499"/>
      <c r="VA36" s="499"/>
      <c r="VB36" s="499"/>
      <c r="VC36" s="499"/>
      <c r="VD36" s="499"/>
      <c r="VE36" s="499"/>
      <c r="VF36" s="499"/>
      <c r="VG36" s="499"/>
      <c r="VH36" s="499"/>
      <c r="VI36" s="499"/>
      <c r="VJ36" s="499"/>
      <c r="VK36" s="499"/>
      <c r="VL36" s="499"/>
      <c r="VM36" s="499"/>
      <c r="VN36" s="499"/>
      <c r="VO36" s="499"/>
      <c r="VP36" s="499"/>
      <c r="VQ36" s="499"/>
      <c r="VR36" s="499"/>
      <c r="VS36" s="499"/>
      <c r="VT36" s="499"/>
      <c r="VU36" s="499"/>
      <c r="VV36" s="499"/>
      <c r="VW36" s="499"/>
      <c r="VX36" s="499"/>
      <c r="VY36" s="499"/>
      <c r="VZ36" s="499"/>
      <c r="WA36" s="499"/>
      <c r="WB36" s="499"/>
      <c r="WC36" s="499"/>
      <c r="WD36" s="499"/>
      <c r="WE36" s="499"/>
      <c r="WF36" s="499"/>
    </row>
    <row r="37" spans="1:604" s="498" customFormat="1" ht="63" x14ac:dyDescent="0.2">
      <c r="A37" s="486"/>
      <c r="B37" s="486"/>
      <c r="C37" s="440" t="s">
        <v>699</v>
      </c>
      <c r="D37" s="450" t="s">
        <v>192</v>
      </c>
      <c r="E37" s="441" t="s">
        <v>441</v>
      </c>
      <c r="F37" s="442" t="s">
        <v>442</v>
      </c>
      <c r="G37" s="437">
        <f>'MC-DRE'!R22</f>
        <v>35</v>
      </c>
      <c r="H37" s="438" t="s">
        <v>3</v>
      </c>
      <c r="I37" s="479">
        <v>60.83</v>
      </c>
      <c r="J37" s="439">
        <f t="shared" si="1"/>
        <v>77.53</v>
      </c>
      <c r="K37" s="476">
        <f t="shared" si="2"/>
        <v>2713.55</v>
      </c>
      <c r="L37" s="478"/>
      <c r="M37" s="478"/>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499"/>
      <c r="AL37" s="499"/>
      <c r="AM37" s="499"/>
      <c r="AN37" s="499"/>
      <c r="AO37" s="499"/>
      <c r="AP37" s="499"/>
      <c r="AQ37" s="499"/>
      <c r="AR37" s="499"/>
      <c r="AS37" s="499"/>
      <c r="AT37" s="499"/>
      <c r="AU37" s="499"/>
      <c r="AV37" s="499"/>
      <c r="AW37" s="499"/>
      <c r="AX37" s="499"/>
      <c r="AY37" s="499"/>
      <c r="AZ37" s="499"/>
      <c r="BA37" s="499"/>
      <c r="BB37" s="499"/>
      <c r="BC37" s="499"/>
      <c r="BD37" s="499"/>
      <c r="BE37" s="499"/>
      <c r="BF37" s="499"/>
      <c r="BG37" s="499"/>
      <c r="BH37" s="499"/>
      <c r="BI37" s="499"/>
      <c r="BJ37" s="499"/>
      <c r="BK37" s="499"/>
      <c r="BL37" s="499"/>
      <c r="BM37" s="499"/>
      <c r="BN37" s="499"/>
      <c r="BO37" s="499"/>
      <c r="BP37" s="499"/>
      <c r="BQ37" s="499"/>
      <c r="BR37" s="499"/>
      <c r="BS37" s="499"/>
      <c r="BT37" s="499"/>
      <c r="BU37" s="499"/>
      <c r="BV37" s="499"/>
      <c r="BW37" s="499"/>
      <c r="BX37" s="499"/>
      <c r="BY37" s="499"/>
      <c r="BZ37" s="499"/>
      <c r="CA37" s="499"/>
      <c r="CB37" s="499"/>
      <c r="CC37" s="499"/>
      <c r="CD37" s="499"/>
      <c r="CE37" s="499"/>
      <c r="CF37" s="499"/>
      <c r="CG37" s="499"/>
      <c r="CH37" s="499"/>
      <c r="CI37" s="499"/>
      <c r="CJ37" s="499"/>
      <c r="CK37" s="499"/>
      <c r="CL37" s="499"/>
      <c r="CM37" s="499"/>
      <c r="CN37" s="499"/>
      <c r="CO37" s="499"/>
      <c r="CP37" s="499"/>
      <c r="CQ37" s="499"/>
      <c r="CR37" s="499"/>
      <c r="CS37" s="499"/>
      <c r="CT37" s="499"/>
      <c r="CU37" s="499"/>
      <c r="CV37" s="499"/>
      <c r="CW37" s="499"/>
      <c r="CX37" s="499"/>
      <c r="CY37" s="499"/>
      <c r="CZ37" s="499"/>
      <c r="DA37" s="499"/>
      <c r="DB37" s="499"/>
      <c r="DC37" s="499"/>
      <c r="DD37" s="499"/>
      <c r="DE37" s="499"/>
      <c r="DF37" s="499"/>
      <c r="DG37" s="499"/>
      <c r="DH37" s="499"/>
      <c r="DI37" s="499"/>
      <c r="DJ37" s="499"/>
      <c r="DK37" s="499"/>
      <c r="DL37" s="499"/>
      <c r="DM37" s="499"/>
      <c r="DN37" s="499"/>
      <c r="DO37" s="499"/>
      <c r="DP37" s="499"/>
      <c r="DQ37" s="499"/>
      <c r="DR37" s="499"/>
      <c r="DS37" s="499"/>
      <c r="DT37" s="499"/>
      <c r="DU37" s="499"/>
      <c r="DV37" s="499"/>
      <c r="DW37" s="499"/>
      <c r="DX37" s="499"/>
      <c r="DY37" s="499"/>
      <c r="DZ37" s="499"/>
      <c r="EA37" s="499"/>
      <c r="EB37" s="499"/>
      <c r="EC37" s="499"/>
      <c r="ED37" s="499"/>
      <c r="EE37" s="499"/>
      <c r="EF37" s="499"/>
      <c r="EG37" s="499"/>
      <c r="EH37" s="499"/>
      <c r="EI37" s="499"/>
      <c r="EJ37" s="499"/>
      <c r="EK37" s="499"/>
      <c r="EL37" s="499"/>
      <c r="EM37" s="499"/>
      <c r="EN37" s="499"/>
      <c r="EO37" s="499"/>
      <c r="EP37" s="499"/>
      <c r="EQ37" s="499"/>
      <c r="ER37" s="499"/>
      <c r="ES37" s="499"/>
      <c r="ET37" s="499"/>
      <c r="EU37" s="499"/>
      <c r="EV37" s="499"/>
      <c r="EW37" s="499"/>
      <c r="EX37" s="499"/>
      <c r="EY37" s="499"/>
      <c r="EZ37" s="499"/>
      <c r="FA37" s="499"/>
      <c r="FB37" s="499"/>
      <c r="FC37" s="499"/>
      <c r="FD37" s="499"/>
      <c r="FE37" s="499"/>
      <c r="FF37" s="499"/>
      <c r="FG37" s="499"/>
      <c r="FH37" s="499"/>
      <c r="FI37" s="499"/>
      <c r="FJ37" s="499"/>
      <c r="FK37" s="499"/>
      <c r="FL37" s="499"/>
      <c r="FM37" s="499"/>
      <c r="FN37" s="499"/>
      <c r="FO37" s="499"/>
      <c r="FP37" s="499"/>
      <c r="FQ37" s="499"/>
      <c r="FR37" s="499"/>
      <c r="FS37" s="499"/>
      <c r="FT37" s="499"/>
      <c r="FU37" s="499"/>
      <c r="FV37" s="499"/>
      <c r="FW37" s="499"/>
      <c r="FX37" s="499"/>
      <c r="FY37" s="499"/>
      <c r="FZ37" s="499"/>
      <c r="GA37" s="499"/>
      <c r="GB37" s="499"/>
      <c r="GC37" s="499"/>
      <c r="GD37" s="499"/>
      <c r="GE37" s="499"/>
      <c r="GF37" s="499"/>
      <c r="GG37" s="499"/>
      <c r="GH37" s="499"/>
      <c r="GI37" s="499"/>
      <c r="GJ37" s="499"/>
      <c r="GK37" s="499"/>
      <c r="GL37" s="499"/>
      <c r="GM37" s="499"/>
      <c r="GN37" s="499"/>
      <c r="GO37" s="499"/>
      <c r="GP37" s="499"/>
      <c r="GQ37" s="499"/>
      <c r="GR37" s="499"/>
      <c r="GS37" s="499"/>
      <c r="GT37" s="499"/>
      <c r="GU37" s="499"/>
      <c r="GV37" s="499"/>
      <c r="GW37" s="499"/>
      <c r="GX37" s="499"/>
      <c r="GY37" s="499"/>
      <c r="GZ37" s="499"/>
      <c r="HA37" s="499"/>
      <c r="HB37" s="499"/>
      <c r="HC37" s="499"/>
      <c r="HD37" s="499"/>
      <c r="HE37" s="499"/>
      <c r="HF37" s="499"/>
      <c r="HG37" s="499"/>
      <c r="HH37" s="499"/>
      <c r="HI37" s="499"/>
      <c r="HJ37" s="499"/>
      <c r="HK37" s="499"/>
      <c r="HL37" s="499"/>
      <c r="HM37" s="499"/>
      <c r="HN37" s="499"/>
      <c r="HO37" s="499"/>
      <c r="HP37" s="499"/>
      <c r="HQ37" s="499"/>
      <c r="HR37" s="499"/>
      <c r="HS37" s="499"/>
      <c r="HT37" s="499"/>
      <c r="HU37" s="499"/>
      <c r="HV37" s="499"/>
      <c r="HW37" s="499"/>
      <c r="HX37" s="499"/>
      <c r="HY37" s="499"/>
      <c r="HZ37" s="499"/>
      <c r="IA37" s="499"/>
      <c r="IB37" s="499"/>
      <c r="IC37" s="499"/>
      <c r="ID37" s="499"/>
      <c r="IE37" s="499"/>
      <c r="IF37" s="499"/>
      <c r="IG37" s="499"/>
      <c r="IH37" s="499"/>
      <c r="II37" s="499"/>
      <c r="IJ37" s="499"/>
      <c r="IK37" s="499"/>
      <c r="IL37" s="499"/>
      <c r="IM37" s="499"/>
      <c r="IN37" s="499"/>
      <c r="IO37" s="499"/>
      <c r="IP37" s="499"/>
      <c r="IQ37" s="499"/>
      <c r="IR37" s="499"/>
      <c r="IS37" s="499"/>
      <c r="IT37" s="499"/>
      <c r="IU37" s="499"/>
      <c r="IV37" s="499"/>
      <c r="IW37" s="499"/>
      <c r="IX37" s="499"/>
      <c r="IY37" s="499"/>
      <c r="IZ37" s="499"/>
      <c r="JA37" s="499"/>
      <c r="JB37" s="499"/>
      <c r="JC37" s="499"/>
      <c r="JD37" s="499"/>
      <c r="JE37" s="499"/>
      <c r="JF37" s="499"/>
      <c r="JG37" s="499"/>
      <c r="JH37" s="499"/>
      <c r="JI37" s="499"/>
      <c r="JJ37" s="499"/>
      <c r="JK37" s="499"/>
      <c r="JL37" s="499"/>
      <c r="JM37" s="499"/>
      <c r="JN37" s="499"/>
      <c r="JO37" s="499"/>
      <c r="JP37" s="499"/>
      <c r="JQ37" s="499"/>
      <c r="JR37" s="499"/>
      <c r="JS37" s="499"/>
      <c r="JT37" s="499"/>
      <c r="JU37" s="499"/>
      <c r="JV37" s="499"/>
      <c r="JW37" s="499"/>
      <c r="JX37" s="499"/>
      <c r="JY37" s="499"/>
      <c r="JZ37" s="499"/>
      <c r="KA37" s="499"/>
      <c r="KB37" s="499"/>
      <c r="KC37" s="499"/>
      <c r="KD37" s="499"/>
      <c r="KE37" s="499"/>
      <c r="KF37" s="499"/>
      <c r="KG37" s="499"/>
      <c r="KH37" s="499"/>
      <c r="KI37" s="499"/>
      <c r="KJ37" s="499"/>
      <c r="KK37" s="499"/>
      <c r="KL37" s="499"/>
      <c r="KM37" s="499"/>
      <c r="KN37" s="499"/>
      <c r="KO37" s="499"/>
      <c r="KP37" s="499"/>
      <c r="KQ37" s="499"/>
      <c r="KR37" s="499"/>
      <c r="KS37" s="499"/>
      <c r="KT37" s="499"/>
      <c r="KU37" s="499"/>
      <c r="KV37" s="499"/>
      <c r="KW37" s="499"/>
      <c r="KX37" s="499"/>
      <c r="KY37" s="499"/>
      <c r="KZ37" s="499"/>
      <c r="LA37" s="499"/>
      <c r="LB37" s="499"/>
      <c r="LC37" s="499"/>
      <c r="LD37" s="499"/>
      <c r="LE37" s="499"/>
      <c r="LF37" s="499"/>
      <c r="LG37" s="499"/>
      <c r="LH37" s="499"/>
      <c r="LI37" s="499"/>
      <c r="LJ37" s="499"/>
      <c r="LK37" s="499"/>
      <c r="LL37" s="499"/>
      <c r="LM37" s="499"/>
      <c r="LN37" s="499"/>
      <c r="LO37" s="499"/>
      <c r="LP37" s="499"/>
      <c r="LQ37" s="499"/>
      <c r="LR37" s="499"/>
      <c r="LS37" s="499"/>
      <c r="LT37" s="499"/>
      <c r="LU37" s="499"/>
      <c r="LV37" s="499"/>
      <c r="LW37" s="499"/>
      <c r="LX37" s="499"/>
      <c r="LY37" s="499"/>
      <c r="LZ37" s="499"/>
      <c r="MA37" s="499"/>
      <c r="MB37" s="499"/>
      <c r="MC37" s="499"/>
      <c r="MD37" s="499"/>
      <c r="ME37" s="499"/>
      <c r="MF37" s="499"/>
      <c r="MG37" s="499"/>
      <c r="MH37" s="499"/>
      <c r="MI37" s="499"/>
      <c r="MJ37" s="499"/>
      <c r="MK37" s="499"/>
      <c r="ML37" s="499"/>
      <c r="MM37" s="499"/>
      <c r="MN37" s="499"/>
      <c r="MO37" s="499"/>
      <c r="MP37" s="499"/>
      <c r="MQ37" s="499"/>
      <c r="MR37" s="499"/>
      <c r="MS37" s="499"/>
      <c r="MT37" s="499"/>
      <c r="MU37" s="499"/>
      <c r="MV37" s="499"/>
      <c r="MW37" s="499"/>
      <c r="MX37" s="499"/>
      <c r="MY37" s="499"/>
      <c r="MZ37" s="499"/>
      <c r="NA37" s="499"/>
      <c r="NB37" s="499"/>
      <c r="NC37" s="499"/>
      <c r="ND37" s="499"/>
      <c r="NE37" s="499"/>
      <c r="NF37" s="499"/>
      <c r="NG37" s="499"/>
      <c r="NH37" s="499"/>
      <c r="NI37" s="499"/>
      <c r="NJ37" s="499"/>
      <c r="NK37" s="499"/>
      <c r="NL37" s="499"/>
      <c r="NM37" s="499"/>
      <c r="NN37" s="499"/>
      <c r="NO37" s="499"/>
      <c r="NP37" s="499"/>
      <c r="NQ37" s="499"/>
      <c r="NR37" s="499"/>
      <c r="NS37" s="499"/>
      <c r="NT37" s="499"/>
      <c r="NU37" s="499"/>
      <c r="NV37" s="499"/>
      <c r="NW37" s="499"/>
      <c r="NX37" s="499"/>
      <c r="NY37" s="499"/>
      <c r="NZ37" s="499"/>
      <c r="OA37" s="499"/>
      <c r="OB37" s="499"/>
      <c r="OC37" s="499"/>
      <c r="OD37" s="499"/>
      <c r="OE37" s="499"/>
      <c r="OF37" s="499"/>
      <c r="OG37" s="499"/>
      <c r="OH37" s="499"/>
      <c r="OI37" s="499"/>
      <c r="OJ37" s="499"/>
      <c r="OK37" s="499"/>
      <c r="OL37" s="499"/>
      <c r="OM37" s="499"/>
      <c r="ON37" s="499"/>
      <c r="OO37" s="499"/>
      <c r="OP37" s="499"/>
      <c r="OQ37" s="499"/>
      <c r="OR37" s="499"/>
      <c r="OS37" s="499"/>
      <c r="OT37" s="499"/>
      <c r="OU37" s="499"/>
      <c r="OV37" s="499"/>
      <c r="OW37" s="499"/>
      <c r="OX37" s="499"/>
      <c r="OY37" s="499"/>
      <c r="OZ37" s="499"/>
      <c r="PA37" s="499"/>
      <c r="PB37" s="499"/>
      <c r="PC37" s="499"/>
      <c r="PD37" s="499"/>
      <c r="PE37" s="499"/>
      <c r="PF37" s="499"/>
      <c r="PG37" s="499"/>
      <c r="PH37" s="499"/>
      <c r="PI37" s="499"/>
      <c r="PJ37" s="499"/>
      <c r="PK37" s="499"/>
      <c r="PL37" s="499"/>
      <c r="PM37" s="499"/>
      <c r="PN37" s="499"/>
      <c r="PO37" s="499"/>
      <c r="PP37" s="499"/>
      <c r="PQ37" s="499"/>
      <c r="PR37" s="499"/>
      <c r="PS37" s="499"/>
      <c r="PT37" s="499"/>
      <c r="PU37" s="499"/>
      <c r="PV37" s="499"/>
      <c r="PW37" s="499"/>
      <c r="PX37" s="499"/>
      <c r="PY37" s="499"/>
      <c r="PZ37" s="499"/>
      <c r="QA37" s="499"/>
      <c r="QB37" s="499"/>
      <c r="QC37" s="499"/>
      <c r="QD37" s="499"/>
      <c r="QE37" s="499"/>
      <c r="QF37" s="499"/>
      <c r="QG37" s="499"/>
      <c r="QH37" s="499"/>
      <c r="QI37" s="499"/>
      <c r="QJ37" s="499"/>
      <c r="QK37" s="499"/>
      <c r="QL37" s="499"/>
      <c r="QM37" s="499"/>
      <c r="QN37" s="499"/>
      <c r="QO37" s="499"/>
      <c r="QP37" s="499"/>
      <c r="QQ37" s="499"/>
      <c r="QR37" s="499"/>
      <c r="QS37" s="499"/>
      <c r="QT37" s="499"/>
      <c r="QU37" s="499"/>
      <c r="QV37" s="499"/>
      <c r="QW37" s="499"/>
      <c r="QX37" s="499"/>
      <c r="QY37" s="499"/>
      <c r="QZ37" s="499"/>
      <c r="RA37" s="499"/>
      <c r="RB37" s="499"/>
      <c r="RC37" s="499"/>
      <c r="RD37" s="499"/>
      <c r="RE37" s="499"/>
      <c r="RF37" s="499"/>
      <c r="RG37" s="499"/>
      <c r="RH37" s="499"/>
      <c r="RI37" s="499"/>
      <c r="RJ37" s="499"/>
      <c r="RK37" s="499"/>
      <c r="RL37" s="499"/>
      <c r="RM37" s="499"/>
      <c r="RN37" s="499"/>
      <c r="RO37" s="499"/>
      <c r="RP37" s="499"/>
      <c r="RQ37" s="499"/>
      <c r="RR37" s="499"/>
      <c r="RS37" s="499"/>
      <c r="RT37" s="499"/>
      <c r="RU37" s="499"/>
      <c r="RV37" s="499"/>
      <c r="RW37" s="499"/>
      <c r="RX37" s="499"/>
      <c r="RY37" s="499"/>
      <c r="RZ37" s="499"/>
      <c r="SA37" s="499"/>
      <c r="SB37" s="499"/>
      <c r="SC37" s="499"/>
      <c r="SD37" s="499"/>
      <c r="SE37" s="499"/>
      <c r="SF37" s="499"/>
      <c r="SG37" s="499"/>
      <c r="SH37" s="499"/>
      <c r="SI37" s="499"/>
      <c r="SJ37" s="499"/>
      <c r="SK37" s="499"/>
      <c r="SL37" s="499"/>
      <c r="SM37" s="499"/>
      <c r="SN37" s="499"/>
      <c r="SO37" s="499"/>
      <c r="SP37" s="499"/>
      <c r="SQ37" s="499"/>
      <c r="SR37" s="499"/>
      <c r="SS37" s="499"/>
      <c r="ST37" s="499"/>
      <c r="SU37" s="499"/>
      <c r="SV37" s="499"/>
      <c r="SW37" s="499"/>
      <c r="SX37" s="499"/>
      <c r="SY37" s="499"/>
      <c r="SZ37" s="499"/>
      <c r="TA37" s="499"/>
      <c r="TB37" s="499"/>
      <c r="TC37" s="499"/>
      <c r="TD37" s="499"/>
      <c r="TE37" s="499"/>
      <c r="TF37" s="499"/>
      <c r="TG37" s="499"/>
      <c r="TH37" s="499"/>
      <c r="TI37" s="499"/>
      <c r="TJ37" s="499"/>
      <c r="TK37" s="499"/>
      <c r="TL37" s="499"/>
      <c r="TM37" s="499"/>
      <c r="TN37" s="499"/>
      <c r="TO37" s="499"/>
      <c r="TP37" s="499"/>
      <c r="TQ37" s="499"/>
      <c r="TR37" s="499"/>
      <c r="TS37" s="499"/>
      <c r="TT37" s="499"/>
      <c r="TU37" s="499"/>
      <c r="TV37" s="499"/>
      <c r="TW37" s="499"/>
      <c r="TX37" s="499"/>
      <c r="TY37" s="499"/>
      <c r="TZ37" s="499"/>
      <c r="UA37" s="499"/>
      <c r="UB37" s="499"/>
      <c r="UC37" s="499"/>
      <c r="UD37" s="499"/>
      <c r="UE37" s="499"/>
      <c r="UF37" s="499"/>
      <c r="UG37" s="499"/>
      <c r="UH37" s="499"/>
      <c r="UI37" s="499"/>
      <c r="UJ37" s="499"/>
      <c r="UK37" s="499"/>
      <c r="UL37" s="499"/>
      <c r="UM37" s="499"/>
      <c r="UN37" s="499"/>
      <c r="UO37" s="499"/>
      <c r="UP37" s="499"/>
      <c r="UQ37" s="499"/>
      <c r="UR37" s="499"/>
      <c r="US37" s="499"/>
      <c r="UT37" s="499"/>
      <c r="UU37" s="499"/>
      <c r="UV37" s="499"/>
      <c r="UW37" s="499"/>
      <c r="UX37" s="499"/>
      <c r="UY37" s="499"/>
      <c r="UZ37" s="499"/>
      <c r="VA37" s="499"/>
      <c r="VB37" s="499"/>
      <c r="VC37" s="499"/>
      <c r="VD37" s="499"/>
      <c r="VE37" s="499"/>
      <c r="VF37" s="499"/>
      <c r="VG37" s="499"/>
      <c r="VH37" s="499"/>
      <c r="VI37" s="499"/>
      <c r="VJ37" s="499"/>
      <c r="VK37" s="499"/>
      <c r="VL37" s="499"/>
      <c r="VM37" s="499"/>
      <c r="VN37" s="499"/>
      <c r="VO37" s="499"/>
      <c r="VP37" s="499"/>
      <c r="VQ37" s="499"/>
      <c r="VR37" s="499"/>
      <c r="VS37" s="499"/>
      <c r="VT37" s="499"/>
      <c r="VU37" s="499"/>
      <c r="VV37" s="499"/>
      <c r="VW37" s="499"/>
      <c r="VX37" s="499"/>
      <c r="VY37" s="499"/>
      <c r="VZ37" s="499"/>
      <c r="WA37" s="499"/>
      <c r="WB37" s="499"/>
      <c r="WC37" s="499"/>
      <c r="WD37" s="499"/>
      <c r="WE37" s="499"/>
      <c r="WF37" s="499"/>
    </row>
    <row r="38" spans="1:604" s="501" customFormat="1" ht="45" customHeight="1" x14ac:dyDescent="0.2">
      <c r="A38" s="450"/>
      <c r="B38" s="450"/>
      <c r="C38" s="487" t="s">
        <v>8</v>
      </c>
      <c r="D38" s="487" t="s">
        <v>190</v>
      </c>
      <c r="E38" s="487" t="s">
        <v>499</v>
      </c>
      <c r="F38" s="603" t="s">
        <v>241</v>
      </c>
      <c r="G38" s="437">
        <f>'MC-DRE'!E38</f>
        <v>275</v>
      </c>
      <c r="H38" s="450" t="s">
        <v>328</v>
      </c>
      <c r="I38" s="479">
        <v>274.68</v>
      </c>
      <c r="J38" s="439">
        <f t="shared" si="1"/>
        <v>350.11</v>
      </c>
      <c r="K38" s="494">
        <f t="shared" si="2"/>
        <v>96280.25</v>
      </c>
      <c r="L38" s="484"/>
      <c r="M38" s="484"/>
      <c r="N38" s="500"/>
      <c r="O38" s="500"/>
      <c r="P38" s="500"/>
      <c r="Q38" s="500"/>
      <c r="R38" s="500"/>
      <c r="S38" s="500"/>
      <c r="T38" s="500"/>
      <c r="U38" s="500"/>
      <c r="V38" s="500"/>
      <c r="W38" s="500"/>
      <c r="X38" s="500"/>
      <c r="Y38" s="500"/>
      <c r="Z38" s="500"/>
      <c r="AA38" s="500"/>
      <c r="AB38" s="500"/>
      <c r="AC38" s="500"/>
      <c r="AD38" s="500"/>
      <c r="AE38" s="500"/>
      <c r="AF38" s="500"/>
      <c r="AG38" s="500"/>
      <c r="AH38" s="500"/>
      <c r="AI38" s="500"/>
      <c r="AJ38" s="500"/>
      <c r="AK38" s="500"/>
      <c r="AL38" s="500"/>
      <c r="AM38" s="500"/>
      <c r="AN38" s="500"/>
      <c r="AO38" s="500"/>
      <c r="AP38" s="500"/>
      <c r="AQ38" s="500"/>
      <c r="AR38" s="500"/>
      <c r="AS38" s="500"/>
      <c r="AT38" s="500"/>
      <c r="AU38" s="500"/>
      <c r="AV38" s="500"/>
      <c r="AW38" s="500"/>
      <c r="AX38" s="500"/>
      <c r="AY38" s="500"/>
      <c r="AZ38" s="500"/>
      <c r="BA38" s="500"/>
      <c r="BB38" s="500"/>
      <c r="BC38" s="500"/>
      <c r="BD38" s="500"/>
      <c r="BE38" s="500"/>
      <c r="BF38" s="500"/>
      <c r="BG38" s="500"/>
      <c r="BH38" s="500"/>
      <c r="BI38" s="500"/>
      <c r="BJ38" s="500"/>
      <c r="BK38" s="500"/>
      <c r="BL38" s="500"/>
      <c r="BM38" s="500"/>
      <c r="BN38" s="500"/>
      <c r="BO38" s="500"/>
      <c r="BP38" s="500"/>
      <c r="BQ38" s="500"/>
      <c r="BR38" s="500"/>
      <c r="BS38" s="500"/>
      <c r="BT38" s="500"/>
      <c r="BU38" s="500"/>
      <c r="BV38" s="500"/>
      <c r="BW38" s="500"/>
      <c r="BX38" s="500"/>
      <c r="BY38" s="500"/>
      <c r="BZ38" s="500"/>
      <c r="CA38" s="500"/>
      <c r="CB38" s="500"/>
      <c r="CC38" s="500"/>
      <c r="CD38" s="500"/>
      <c r="CE38" s="500"/>
      <c r="CF38" s="500"/>
      <c r="CG38" s="500"/>
      <c r="CH38" s="500"/>
      <c r="CI38" s="500"/>
      <c r="CJ38" s="500"/>
      <c r="CK38" s="500"/>
      <c r="CL38" s="500"/>
      <c r="CM38" s="500"/>
      <c r="CN38" s="500"/>
      <c r="CO38" s="500"/>
      <c r="CP38" s="500"/>
      <c r="CQ38" s="500"/>
      <c r="CR38" s="500"/>
      <c r="CS38" s="500"/>
      <c r="CT38" s="500"/>
      <c r="CU38" s="500"/>
      <c r="CV38" s="500"/>
      <c r="CW38" s="500"/>
      <c r="CX38" s="500"/>
      <c r="CY38" s="500"/>
      <c r="CZ38" s="500"/>
      <c r="DA38" s="500"/>
      <c r="DB38" s="500"/>
      <c r="DC38" s="500"/>
      <c r="DD38" s="500"/>
      <c r="DE38" s="500"/>
      <c r="DF38" s="500"/>
      <c r="DG38" s="500"/>
      <c r="DH38" s="500"/>
      <c r="DI38" s="500"/>
      <c r="DJ38" s="500"/>
      <c r="DK38" s="500"/>
      <c r="DL38" s="500"/>
      <c r="DM38" s="500"/>
      <c r="DN38" s="500"/>
      <c r="DO38" s="500"/>
      <c r="DP38" s="500"/>
      <c r="DQ38" s="500"/>
      <c r="DR38" s="500"/>
      <c r="DS38" s="500"/>
      <c r="DT38" s="500"/>
      <c r="DU38" s="500"/>
      <c r="DV38" s="500"/>
      <c r="DW38" s="500"/>
      <c r="DX38" s="500"/>
      <c r="DY38" s="500"/>
      <c r="DZ38" s="500"/>
      <c r="EA38" s="500"/>
      <c r="EB38" s="500"/>
      <c r="EC38" s="500"/>
      <c r="ED38" s="500"/>
      <c r="EE38" s="500"/>
      <c r="EF38" s="500"/>
      <c r="EG38" s="500"/>
      <c r="EH38" s="500"/>
      <c r="EI38" s="500"/>
      <c r="EJ38" s="500"/>
      <c r="EK38" s="500"/>
      <c r="EL38" s="500"/>
      <c r="EM38" s="500"/>
      <c r="EN38" s="500"/>
      <c r="EO38" s="500"/>
      <c r="EP38" s="500"/>
      <c r="EQ38" s="500"/>
      <c r="ER38" s="500"/>
      <c r="ES38" s="500"/>
      <c r="ET38" s="500"/>
      <c r="EU38" s="500"/>
      <c r="EV38" s="500"/>
      <c r="EW38" s="500"/>
      <c r="EX38" s="500"/>
      <c r="EY38" s="500"/>
      <c r="EZ38" s="500"/>
      <c r="FA38" s="500"/>
      <c r="FB38" s="500"/>
      <c r="FC38" s="500"/>
      <c r="FD38" s="500"/>
      <c r="FE38" s="500"/>
      <c r="FF38" s="500"/>
      <c r="FG38" s="500"/>
      <c r="FH38" s="500"/>
      <c r="FI38" s="500"/>
      <c r="FJ38" s="500"/>
      <c r="FK38" s="500"/>
      <c r="FL38" s="500"/>
      <c r="FM38" s="500"/>
      <c r="FN38" s="500"/>
      <c r="FO38" s="500"/>
      <c r="FP38" s="500"/>
      <c r="FQ38" s="500"/>
      <c r="FR38" s="500"/>
      <c r="FS38" s="500"/>
      <c r="FT38" s="500"/>
      <c r="FU38" s="500"/>
      <c r="FV38" s="500"/>
      <c r="FW38" s="500"/>
      <c r="FX38" s="500"/>
      <c r="FY38" s="500"/>
      <c r="FZ38" s="500"/>
      <c r="GA38" s="500"/>
      <c r="GB38" s="500"/>
      <c r="GC38" s="500"/>
      <c r="GD38" s="500"/>
      <c r="GE38" s="500"/>
      <c r="GF38" s="500"/>
      <c r="GG38" s="500"/>
      <c r="GH38" s="500"/>
      <c r="GI38" s="500"/>
      <c r="GJ38" s="500"/>
      <c r="GK38" s="500"/>
      <c r="GL38" s="500"/>
      <c r="GM38" s="500"/>
      <c r="GN38" s="500"/>
      <c r="GO38" s="500"/>
      <c r="GP38" s="500"/>
      <c r="GQ38" s="500"/>
      <c r="GR38" s="500"/>
      <c r="GS38" s="500"/>
      <c r="GT38" s="500"/>
      <c r="GU38" s="500"/>
      <c r="GV38" s="500"/>
      <c r="GW38" s="500"/>
      <c r="GX38" s="500"/>
      <c r="GY38" s="500"/>
      <c r="GZ38" s="500"/>
      <c r="HA38" s="500"/>
      <c r="HB38" s="500"/>
      <c r="HC38" s="500"/>
      <c r="HD38" s="500"/>
      <c r="HE38" s="500"/>
      <c r="HF38" s="500"/>
      <c r="HG38" s="500"/>
      <c r="HH38" s="500"/>
      <c r="HI38" s="500"/>
      <c r="HJ38" s="500"/>
      <c r="HK38" s="500"/>
      <c r="HL38" s="500"/>
      <c r="HM38" s="500"/>
      <c r="HN38" s="500"/>
      <c r="HO38" s="500"/>
      <c r="HP38" s="500"/>
      <c r="HQ38" s="500"/>
      <c r="HR38" s="500"/>
      <c r="HS38" s="500"/>
      <c r="HT38" s="500"/>
      <c r="HU38" s="500"/>
      <c r="HV38" s="500"/>
      <c r="HW38" s="500"/>
      <c r="HX38" s="500"/>
      <c r="HY38" s="500"/>
      <c r="HZ38" s="500"/>
      <c r="IA38" s="500"/>
      <c r="IB38" s="500"/>
      <c r="IC38" s="500"/>
      <c r="ID38" s="500"/>
      <c r="IE38" s="500"/>
      <c r="IF38" s="500"/>
      <c r="IG38" s="500"/>
      <c r="IH38" s="500"/>
      <c r="II38" s="500"/>
      <c r="IJ38" s="500"/>
      <c r="IK38" s="500"/>
      <c r="IL38" s="500"/>
      <c r="IM38" s="500"/>
      <c r="IN38" s="500"/>
      <c r="IO38" s="500"/>
      <c r="IP38" s="500"/>
      <c r="IQ38" s="500"/>
      <c r="IR38" s="500"/>
      <c r="IS38" s="500"/>
      <c r="IT38" s="500"/>
      <c r="IU38" s="500"/>
      <c r="IV38" s="500"/>
      <c r="IW38" s="500"/>
      <c r="IX38" s="500"/>
      <c r="IY38" s="500"/>
      <c r="IZ38" s="500"/>
      <c r="JA38" s="500"/>
      <c r="JB38" s="500"/>
      <c r="JC38" s="500"/>
      <c r="JD38" s="500"/>
      <c r="JE38" s="500"/>
      <c r="JF38" s="500"/>
      <c r="JG38" s="500"/>
      <c r="JH38" s="500"/>
      <c r="JI38" s="500"/>
      <c r="JJ38" s="500"/>
      <c r="JK38" s="500"/>
      <c r="JL38" s="500"/>
      <c r="JM38" s="500"/>
      <c r="JN38" s="500"/>
      <c r="JO38" s="500"/>
      <c r="JP38" s="500"/>
      <c r="JQ38" s="500"/>
      <c r="JR38" s="500"/>
      <c r="JS38" s="500"/>
      <c r="JT38" s="500"/>
      <c r="JU38" s="500"/>
      <c r="JV38" s="500"/>
      <c r="JW38" s="500"/>
      <c r="JX38" s="500"/>
      <c r="JY38" s="500"/>
      <c r="JZ38" s="500"/>
      <c r="KA38" s="500"/>
      <c r="KB38" s="500"/>
      <c r="KC38" s="500"/>
      <c r="KD38" s="500"/>
      <c r="KE38" s="500"/>
      <c r="KF38" s="500"/>
      <c r="KG38" s="500"/>
      <c r="KH38" s="500"/>
      <c r="KI38" s="500"/>
      <c r="KJ38" s="500"/>
      <c r="KK38" s="500"/>
      <c r="KL38" s="500"/>
      <c r="KM38" s="500"/>
      <c r="KN38" s="500"/>
      <c r="KO38" s="500"/>
      <c r="KP38" s="500"/>
      <c r="KQ38" s="500"/>
      <c r="KR38" s="500"/>
      <c r="KS38" s="500"/>
      <c r="KT38" s="500"/>
      <c r="KU38" s="500"/>
      <c r="KV38" s="500"/>
      <c r="KW38" s="500"/>
      <c r="KX38" s="500"/>
      <c r="KY38" s="500"/>
      <c r="KZ38" s="500"/>
      <c r="LA38" s="500"/>
      <c r="LB38" s="500"/>
      <c r="LC38" s="500"/>
      <c r="LD38" s="500"/>
      <c r="LE38" s="500"/>
      <c r="LF38" s="500"/>
      <c r="LG38" s="500"/>
      <c r="LH38" s="500"/>
      <c r="LI38" s="500"/>
      <c r="LJ38" s="500"/>
      <c r="LK38" s="500"/>
      <c r="LL38" s="500"/>
      <c r="LM38" s="500"/>
      <c r="LN38" s="500"/>
      <c r="LO38" s="500"/>
      <c r="LP38" s="500"/>
      <c r="LQ38" s="500"/>
      <c r="LR38" s="500"/>
      <c r="LS38" s="500"/>
      <c r="LT38" s="500"/>
      <c r="LU38" s="500"/>
      <c r="LV38" s="500"/>
      <c r="LW38" s="500"/>
      <c r="LX38" s="500"/>
      <c r="LY38" s="500"/>
      <c r="LZ38" s="500"/>
      <c r="MA38" s="500"/>
      <c r="MB38" s="500"/>
      <c r="MC38" s="500"/>
      <c r="MD38" s="500"/>
      <c r="ME38" s="500"/>
      <c r="MF38" s="500"/>
      <c r="MG38" s="500"/>
      <c r="MH38" s="500"/>
      <c r="MI38" s="500"/>
      <c r="MJ38" s="500"/>
      <c r="MK38" s="500"/>
      <c r="ML38" s="500"/>
      <c r="MM38" s="500"/>
      <c r="MN38" s="500"/>
      <c r="MO38" s="500"/>
      <c r="MP38" s="500"/>
      <c r="MQ38" s="500"/>
      <c r="MR38" s="500"/>
      <c r="MS38" s="500"/>
      <c r="MT38" s="500"/>
      <c r="MU38" s="500"/>
      <c r="MV38" s="500"/>
      <c r="MW38" s="500"/>
      <c r="MX38" s="500"/>
      <c r="MY38" s="500"/>
      <c r="MZ38" s="500"/>
      <c r="NA38" s="500"/>
      <c r="NB38" s="500"/>
      <c r="NC38" s="500"/>
      <c r="ND38" s="500"/>
      <c r="NE38" s="500"/>
      <c r="NF38" s="500"/>
      <c r="NG38" s="500"/>
      <c r="NH38" s="500"/>
      <c r="NI38" s="500"/>
      <c r="NJ38" s="500"/>
      <c r="NK38" s="500"/>
      <c r="NL38" s="500"/>
      <c r="NM38" s="500"/>
      <c r="NN38" s="500"/>
      <c r="NO38" s="500"/>
      <c r="NP38" s="500"/>
      <c r="NQ38" s="500"/>
      <c r="NR38" s="500"/>
      <c r="NS38" s="500"/>
      <c r="NT38" s="500"/>
      <c r="NU38" s="500"/>
      <c r="NV38" s="500"/>
      <c r="NW38" s="500"/>
      <c r="NX38" s="500"/>
      <c r="NY38" s="500"/>
      <c r="NZ38" s="500"/>
      <c r="OA38" s="500"/>
      <c r="OB38" s="500"/>
      <c r="OC38" s="500"/>
      <c r="OD38" s="500"/>
      <c r="OE38" s="500"/>
      <c r="OF38" s="500"/>
      <c r="OG38" s="500"/>
      <c r="OH38" s="500"/>
      <c r="OI38" s="500"/>
      <c r="OJ38" s="500"/>
      <c r="OK38" s="500"/>
      <c r="OL38" s="500"/>
      <c r="OM38" s="500"/>
      <c r="ON38" s="500"/>
      <c r="OO38" s="500"/>
      <c r="OP38" s="500"/>
      <c r="OQ38" s="500"/>
      <c r="OR38" s="500"/>
      <c r="OS38" s="500"/>
      <c r="OT38" s="500"/>
      <c r="OU38" s="500"/>
      <c r="OV38" s="500"/>
      <c r="OW38" s="500"/>
      <c r="OX38" s="500"/>
      <c r="OY38" s="500"/>
      <c r="OZ38" s="500"/>
      <c r="PA38" s="500"/>
      <c r="PB38" s="500"/>
      <c r="PC38" s="500"/>
      <c r="PD38" s="500"/>
      <c r="PE38" s="500"/>
      <c r="PF38" s="500"/>
      <c r="PG38" s="500"/>
      <c r="PH38" s="500"/>
      <c r="PI38" s="500"/>
      <c r="PJ38" s="500"/>
      <c r="PK38" s="500"/>
      <c r="PL38" s="500"/>
      <c r="PM38" s="500"/>
      <c r="PN38" s="500"/>
      <c r="PO38" s="500"/>
      <c r="PP38" s="500"/>
      <c r="PQ38" s="500"/>
      <c r="PR38" s="500"/>
      <c r="PS38" s="500"/>
      <c r="PT38" s="500"/>
      <c r="PU38" s="500"/>
      <c r="PV38" s="500"/>
      <c r="PW38" s="500"/>
      <c r="PX38" s="500"/>
      <c r="PY38" s="500"/>
      <c r="PZ38" s="500"/>
      <c r="QA38" s="500"/>
      <c r="QB38" s="500"/>
      <c r="QC38" s="500"/>
      <c r="QD38" s="500"/>
      <c r="QE38" s="500"/>
      <c r="QF38" s="500"/>
      <c r="QG38" s="500"/>
      <c r="QH38" s="500"/>
      <c r="QI38" s="500"/>
      <c r="QJ38" s="500"/>
      <c r="QK38" s="500"/>
      <c r="QL38" s="500"/>
      <c r="QM38" s="500"/>
      <c r="QN38" s="500"/>
      <c r="QO38" s="500"/>
      <c r="QP38" s="500"/>
      <c r="QQ38" s="500"/>
      <c r="QR38" s="500"/>
      <c r="QS38" s="500"/>
      <c r="QT38" s="500"/>
      <c r="QU38" s="500"/>
      <c r="QV38" s="500"/>
      <c r="QW38" s="500"/>
      <c r="QX38" s="500"/>
      <c r="QY38" s="500"/>
      <c r="QZ38" s="500"/>
      <c r="RA38" s="500"/>
      <c r="RB38" s="500"/>
      <c r="RC38" s="500"/>
      <c r="RD38" s="500"/>
      <c r="RE38" s="500"/>
      <c r="RF38" s="500"/>
      <c r="RG38" s="500"/>
      <c r="RH38" s="500"/>
      <c r="RI38" s="500"/>
      <c r="RJ38" s="500"/>
      <c r="RK38" s="500"/>
      <c r="RL38" s="500"/>
      <c r="RM38" s="500"/>
      <c r="RN38" s="500"/>
      <c r="RO38" s="500"/>
      <c r="RP38" s="500"/>
      <c r="RQ38" s="500"/>
      <c r="RR38" s="500"/>
      <c r="RS38" s="500"/>
      <c r="RT38" s="500"/>
      <c r="RU38" s="500"/>
      <c r="RV38" s="500"/>
      <c r="RW38" s="500"/>
      <c r="RX38" s="500"/>
      <c r="RY38" s="500"/>
      <c r="RZ38" s="500"/>
      <c r="SA38" s="500"/>
      <c r="SB38" s="500"/>
      <c r="SC38" s="500"/>
      <c r="SD38" s="500"/>
      <c r="SE38" s="500"/>
      <c r="SF38" s="500"/>
      <c r="SG38" s="500"/>
      <c r="SH38" s="500"/>
      <c r="SI38" s="500"/>
      <c r="SJ38" s="500"/>
      <c r="SK38" s="500"/>
      <c r="SL38" s="500"/>
      <c r="SM38" s="500"/>
      <c r="SN38" s="500"/>
      <c r="SO38" s="500"/>
      <c r="SP38" s="500"/>
      <c r="SQ38" s="500"/>
      <c r="SR38" s="500"/>
      <c r="SS38" s="500"/>
      <c r="ST38" s="500"/>
      <c r="SU38" s="500"/>
      <c r="SV38" s="500"/>
      <c r="SW38" s="500"/>
      <c r="SX38" s="500"/>
      <c r="SY38" s="500"/>
      <c r="SZ38" s="500"/>
      <c r="TA38" s="500"/>
      <c r="TB38" s="500"/>
      <c r="TC38" s="500"/>
      <c r="TD38" s="500"/>
      <c r="TE38" s="500"/>
      <c r="TF38" s="500"/>
      <c r="TG38" s="500"/>
      <c r="TH38" s="500"/>
      <c r="TI38" s="500"/>
      <c r="TJ38" s="500"/>
      <c r="TK38" s="500"/>
      <c r="TL38" s="500"/>
      <c r="TM38" s="500"/>
      <c r="TN38" s="500"/>
      <c r="TO38" s="500"/>
      <c r="TP38" s="500"/>
      <c r="TQ38" s="500"/>
      <c r="TR38" s="500"/>
      <c r="TS38" s="500"/>
      <c r="TT38" s="500"/>
      <c r="TU38" s="500"/>
      <c r="TV38" s="500"/>
      <c r="TW38" s="500"/>
      <c r="TX38" s="500"/>
      <c r="TY38" s="500"/>
      <c r="TZ38" s="500"/>
      <c r="UA38" s="500"/>
      <c r="UB38" s="500"/>
      <c r="UC38" s="500"/>
      <c r="UD38" s="500"/>
      <c r="UE38" s="500"/>
      <c r="UF38" s="500"/>
      <c r="UG38" s="500"/>
      <c r="UH38" s="500"/>
      <c r="UI38" s="500"/>
      <c r="UJ38" s="500"/>
      <c r="UK38" s="500"/>
      <c r="UL38" s="500"/>
      <c r="UM38" s="500"/>
      <c r="UN38" s="500"/>
      <c r="UO38" s="500"/>
      <c r="UP38" s="500"/>
      <c r="UQ38" s="500"/>
      <c r="UR38" s="500"/>
      <c r="US38" s="500"/>
      <c r="UT38" s="500"/>
      <c r="UU38" s="500"/>
      <c r="UV38" s="500"/>
      <c r="UW38" s="500"/>
      <c r="UX38" s="500"/>
      <c r="UY38" s="500"/>
      <c r="UZ38" s="500"/>
      <c r="VA38" s="500"/>
      <c r="VB38" s="500"/>
      <c r="VC38" s="500"/>
      <c r="VD38" s="500"/>
      <c r="VE38" s="500"/>
      <c r="VF38" s="500"/>
      <c r="VG38" s="500"/>
      <c r="VH38" s="500"/>
      <c r="VI38" s="500"/>
      <c r="VJ38" s="500"/>
      <c r="VK38" s="500"/>
      <c r="VL38" s="500"/>
      <c r="VM38" s="500"/>
      <c r="VN38" s="500"/>
      <c r="VO38" s="500"/>
      <c r="VP38" s="500"/>
      <c r="VQ38" s="500"/>
      <c r="VR38" s="500"/>
      <c r="VS38" s="500"/>
      <c r="VT38" s="500"/>
      <c r="VU38" s="500"/>
      <c r="VV38" s="500"/>
      <c r="VW38" s="500"/>
      <c r="VX38" s="500"/>
      <c r="VY38" s="500"/>
      <c r="VZ38" s="500"/>
      <c r="WA38" s="500"/>
      <c r="WB38" s="500"/>
      <c r="WC38" s="500"/>
      <c r="WD38" s="500"/>
      <c r="WE38" s="500"/>
      <c r="WF38" s="500"/>
    </row>
    <row r="39" spans="1:604" s="501" customFormat="1" ht="45" customHeight="1" x14ac:dyDescent="0.2">
      <c r="A39" s="450"/>
      <c r="B39" s="450"/>
      <c r="C39" s="450" t="s">
        <v>700</v>
      </c>
      <c r="D39" s="450" t="s">
        <v>190</v>
      </c>
      <c r="E39" s="450" t="s">
        <v>501</v>
      </c>
      <c r="F39" s="604" t="s">
        <v>502</v>
      </c>
      <c r="G39" s="437">
        <f>'MC-DRE'!I38</f>
        <v>461.01</v>
      </c>
      <c r="H39" s="450" t="s">
        <v>0</v>
      </c>
      <c r="I39" s="479">
        <v>11.48</v>
      </c>
      <c r="J39" s="439">
        <f t="shared" si="1"/>
        <v>14.63</v>
      </c>
      <c r="K39" s="494">
        <f t="shared" si="2"/>
        <v>6744.58</v>
      </c>
      <c r="L39" s="484"/>
      <c r="M39" s="484"/>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0"/>
      <c r="AL39" s="500"/>
      <c r="AM39" s="500"/>
      <c r="AN39" s="500"/>
      <c r="AO39" s="500"/>
      <c r="AP39" s="500"/>
      <c r="AQ39" s="500"/>
      <c r="AR39" s="500"/>
      <c r="AS39" s="500"/>
      <c r="AT39" s="500"/>
      <c r="AU39" s="500"/>
      <c r="AV39" s="500"/>
      <c r="AW39" s="500"/>
      <c r="AX39" s="500"/>
      <c r="AY39" s="500"/>
      <c r="AZ39" s="500"/>
      <c r="BA39" s="500"/>
      <c r="BB39" s="500"/>
      <c r="BC39" s="500"/>
      <c r="BD39" s="500"/>
      <c r="BE39" s="500"/>
      <c r="BF39" s="500"/>
      <c r="BG39" s="500"/>
      <c r="BH39" s="500"/>
      <c r="BI39" s="500"/>
      <c r="BJ39" s="500"/>
      <c r="BK39" s="500"/>
      <c r="BL39" s="500"/>
      <c r="BM39" s="500"/>
      <c r="BN39" s="500"/>
      <c r="BO39" s="500"/>
      <c r="BP39" s="500"/>
      <c r="BQ39" s="500"/>
      <c r="BR39" s="500"/>
      <c r="BS39" s="500"/>
      <c r="BT39" s="500"/>
      <c r="BU39" s="500"/>
      <c r="BV39" s="500"/>
      <c r="BW39" s="500"/>
      <c r="BX39" s="500"/>
      <c r="BY39" s="500"/>
      <c r="BZ39" s="500"/>
      <c r="CA39" s="500"/>
      <c r="CB39" s="500"/>
      <c r="CC39" s="500"/>
      <c r="CD39" s="500"/>
      <c r="CE39" s="500"/>
      <c r="CF39" s="500"/>
      <c r="CG39" s="500"/>
      <c r="CH39" s="500"/>
      <c r="CI39" s="500"/>
      <c r="CJ39" s="500"/>
      <c r="CK39" s="500"/>
      <c r="CL39" s="500"/>
      <c r="CM39" s="500"/>
      <c r="CN39" s="500"/>
      <c r="CO39" s="500"/>
      <c r="CP39" s="500"/>
      <c r="CQ39" s="500"/>
      <c r="CR39" s="500"/>
      <c r="CS39" s="500"/>
      <c r="CT39" s="500"/>
      <c r="CU39" s="500"/>
      <c r="CV39" s="500"/>
      <c r="CW39" s="500"/>
      <c r="CX39" s="500"/>
      <c r="CY39" s="500"/>
      <c r="CZ39" s="500"/>
      <c r="DA39" s="500"/>
      <c r="DB39" s="500"/>
      <c r="DC39" s="500"/>
      <c r="DD39" s="500"/>
      <c r="DE39" s="500"/>
      <c r="DF39" s="500"/>
      <c r="DG39" s="500"/>
      <c r="DH39" s="500"/>
      <c r="DI39" s="500"/>
      <c r="DJ39" s="500"/>
      <c r="DK39" s="500"/>
      <c r="DL39" s="500"/>
      <c r="DM39" s="500"/>
      <c r="DN39" s="500"/>
      <c r="DO39" s="500"/>
      <c r="DP39" s="500"/>
      <c r="DQ39" s="500"/>
      <c r="DR39" s="500"/>
      <c r="DS39" s="500"/>
      <c r="DT39" s="500"/>
      <c r="DU39" s="500"/>
      <c r="DV39" s="500"/>
      <c r="DW39" s="500"/>
      <c r="DX39" s="500"/>
      <c r="DY39" s="500"/>
      <c r="DZ39" s="500"/>
      <c r="EA39" s="500"/>
      <c r="EB39" s="500"/>
      <c r="EC39" s="500"/>
      <c r="ED39" s="500"/>
      <c r="EE39" s="500"/>
      <c r="EF39" s="500"/>
      <c r="EG39" s="500"/>
      <c r="EH39" s="500"/>
      <c r="EI39" s="500"/>
      <c r="EJ39" s="500"/>
      <c r="EK39" s="500"/>
      <c r="EL39" s="500"/>
      <c r="EM39" s="500"/>
      <c r="EN39" s="500"/>
      <c r="EO39" s="500"/>
      <c r="EP39" s="500"/>
      <c r="EQ39" s="500"/>
      <c r="ER39" s="500"/>
      <c r="ES39" s="500"/>
      <c r="ET39" s="500"/>
      <c r="EU39" s="500"/>
      <c r="EV39" s="500"/>
      <c r="EW39" s="500"/>
      <c r="EX39" s="500"/>
      <c r="EY39" s="500"/>
      <c r="EZ39" s="500"/>
      <c r="FA39" s="500"/>
      <c r="FB39" s="500"/>
      <c r="FC39" s="500"/>
      <c r="FD39" s="500"/>
      <c r="FE39" s="500"/>
      <c r="FF39" s="500"/>
      <c r="FG39" s="500"/>
      <c r="FH39" s="500"/>
      <c r="FI39" s="500"/>
      <c r="FJ39" s="500"/>
      <c r="FK39" s="500"/>
      <c r="FL39" s="500"/>
      <c r="FM39" s="500"/>
      <c r="FN39" s="500"/>
      <c r="FO39" s="500"/>
      <c r="FP39" s="500"/>
      <c r="FQ39" s="500"/>
      <c r="FR39" s="500"/>
      <c r="FS39" s="500"/>
      <c r="FT39" s="500"/>
      <c r="FU39" s="500"/>
      <c r="FV39" s="500"/>
      <c r="FW39" s="500"/>
      <c r="FX39" s="500"/>
      <c r="FY39" s="500"/>
      <c r="FZ39" s="500"/>
      <c r="GA39" s="500"/>
      <c r="GB39" s="500"/>
      <c r="GC39" s="500"/>
      <c r="GD39" s="500"/>
      <c r="GE39" s="500"/>
      <c r="GF39" s="500"/>
      <c r="GG39" s="500"/>
      <c r="GH39" s="500"/>
      <c r="GI39" s="500"/>
      <c r="GJ39" s="500"/>
      <c r="GK39" s="500"/>
      <c r="GL39" s="500"/>
      <c r="GM39" s="500"/>
      <c r="GN39" s="500"/>
      <c r="GO39" s="500"/>
      <c r="GP39" s="500"/>
      <c r="GQ39" s="500"/>
      <c r="GR39" s="500"/>
      <c r="GS39" s="500"/>
      <c r="GT39" s="500"/>
      <c r="GU39" s="500"/>
      <c r="GV39" s="500"/>
      <c r="GW39" s="500"/>
      <c r="GX39" s="500"/>
      <c r="GY39" s="500"/>
      <c r="GZ39" s="500"/>
      <c r="HA39" s="500"/>
      <c r="HB39" s="500"/>
      <c r="HC39" s="500"/>
      <c r="HD39" s="500"/>
      <c r="HE39" s="500"/>
      <c r="HF39" s="500"/>
      <c r="HG39" s="500"/>
      <c r="HH39" s="500"/>
      <c r="HI39" s="500"/>
      <c r="HJ39" s="500"/>
      <c r="HK39" s="500"/>
      <c r="HL39" s="500"/>
      <c r="HM39" s="500"/>
      <c r="HN39" s="500"/>
      <c r="HO39" s="500"/>
      <c r="HP39" s="500"/>
      <c r="HQ39" s="500"/>
      <c r="HR39" s="500"/>
      <c r="HS39" s="500"/>
      <c r="HT39" s="500"/>
      <c r="HU39" s="500"/>
      <c r="HV39" s="500"/>
      <c r="HW39" s="500"/>
      <c r="HX39" s="500"/>
      <c r="HY39" s="500"/>
      <c r="HZ39" s="500"/>
      <c r="IA39" s="500"/>
      <c r="IB39" s="500"/>
      <c r="IC39" s="500"/>
      <c r="ID39" s="500"/>
      <c r="IE39" s="500"/>
      <c r="IF39" s="500"/>
      <c r="IG39" s="500"/>
      <c r="IH39" s="500"/>
      <c r="II39" s="500"/>
      <c r="IJ39" s="500"/>
      <c r="IK39" s="500"/>
      <c r="IL39" s="500"/>
      <c r="IM39" s="500"/>
      <c r="IN39" s="500"/>
      <c r="IO39" s="500"/>
      <c r="IP39" s="500"/>
      <c r="IQ39" s="500"/>
      <c r="IR39" s="500"/>
      <c r="IS39" s="500"/>
      <c r="IT39" s="500"/>
      <c r="IU39" s="500"/>
      <c r="IV39" s="500"/>
      <c r="IW39" s="500"/>
      <c r="IX39" s="500"/>
      <c r="IY39" s="500"/>
      <c r="IZ39" s="500"/>
      <c r="JA39" s="500"/>
      <c r="JB39" s="500"/>
      <c r="JC39" s="500"/>
      <c r="JD39" s="500"/>
      <c r="JE39" s="500"/>
      <c r="JF39" s="500"/>
      <c r="JG39" s="500"/>
      <c r="JH39" s="500"/>
      <c r="JI39" s="500"/>
      <c r="JJ39" s="500"/>
      <c r="JK39" s="500"/>
      <c r="JL39" s="500"/>
      <c r="JM39" s="500"/>
      <c r="JN39" s="500"/>
      <c r="JO39" s="500"/>
      <c r="JP39" s="500"/>
      <c r="JQ39" s="500"/>
      <c r="JR39" s="500"/>
      <c r="JS39" s="500"/>
      <c r="JT39" s="500"/>
      <c r="JU39" s="500"/>
      <c r="JV39" s="500"/>
      <c r="JW39" s="500"/>
      <c r="JX39" s="500"/>
      <c r="JY39" s="500"/>
      <c r="JZ39" s="500"/>
      <c r="KA39" s="500"/>
      <c r="KB39" s="500"/>
      <c r="KC39" s="500"/>
      <c r="KD39" s="500"/>
      <c r="KE39" s="500"/>
      <c r="KF39" s="500"/>
      <c r="KG39" s="500"/>
      <c r="KH39" s="500"/>
      <c r="KI39" s="500"/>
      <c r="KJ39" s="500"/>
      <c r="KK39" s="500"/>
      <c r="KL39" s="500"/>
      <c r="KM39" s="500"/>
      <c r="KN39" s="500"/>
      <c r="KO39" s="500"/>
      <c r="KP39" s="500"/>
      <c r="KQ39" s="500"/>
      <c r="KR39" s="500"/>
      <c r="KS39" s="500"/>
      <c r="KT39" s="500"/>
      <c r="KU39" s="500"/>
      <c r="KV39" s="500"/>
      <c r="KW39" s="500"/>
      <c r="KX39" s="500"/>
      <c r="KY39" s="500"/>
      <c r="KZ39" s="500"/>
      <c r="LA39" s="500"/>
      <c r="LB39" s="500"/>
      <c r="LC39" s="500"/>
      <c r="LD39" s="500"/>
      <c r="LE39" s="500"/>
      <c r="LF39" s="500"/>
      <c r="LG39" s="500"/>
      <c r="LH39" s="500"/>
      <c r="LI39" s="500"/>
      <c r="LJ39" s="500"/>
      <c r="LK39" s="500"/>
      <c r="LL39" s="500"/>
      <c r="LM39" s="500"/>
      <c r="LN39" s="500"/>
      <c r="LO39" s="500"/>
      <c r="LP39" s="500"/>
      <c r="LQ39" s="500"/>
      <c r="LR39" s="500"/>
      <c r="LS39" s="500"/>
      <c r="LT39" s="500"/>
      <c r="LU39" s="500"/>
      <c r="LV39" s="500"/>
      <c r="LW39" s="500"/>
      <c r="LX39" s="500"/>
      <c r="LY39" s="500"/>
      <c r="LZ39" s="500"/>
      <c r="MA39" s="500"/>
      <c r="MB39" s="500"/>
      <c r="MC39" s="500"/>
      <c r="MD39" s="500"/>
      <c r="ME39" s="500"/>
      <c r="MF39" s="500"/>
      <c r="MG39" s="500"/>
      <c r="MH39" s="500"/>
      <c r="MI39" s="500"/>
      <c r="MJ39" s="500"/>
      <c r="MK39" s="500"/>
      <c r="ML39" s="500"/>
      <c r="MM39" s="500"/>
      <c r="MN39" s="500"/>
      <c r="MO39" s="500"/>
      <c r="MP39" s="500"/>
      <c r="MQ39" s="500"/>
      <c r="MR39" s="500"/>
      <c r="MS39" s="500"/>
      <c r="MT39" s="500"/>
      <c r="MU39" s="500"/>
      <c r="MV39" s="500"/>
      <c r="MW39" s="500"/>
      <c r="MX39" s="500"/>
      <c r="MY39" s="500"/>
      <c r="MZ39" s="500"/>
      <c r="NA39" s="500"/>
      <c r="NB39" s="500"/>
      <c r="NC39" s="500"/>
      <c r="ND39" s="500"/>
      <c r="NE39" s="500"/>
      <c r="NF39" s="500"/>
      <c r="NG39" s="500"/>
      <c r="NH39" s="500"/>
      <c r="NI39" s="500"/>
      <c r="NJ39" s="500"/>
      <c r="NK39" s="500"/>
      <c r="NL39" s="500"/>
      <c r="NM39" s="500"/>
      <c r="NN39" s="500"/>
      <c r="NO39" s="500"/>
      <c r="NP39" s="500"/>
      <c r="NQ39" s="500"/>
      <c r="NR39" s="500"/>
      <c r="NS39" s="500"/>
      <c r="NT39" s="500"/>
      <c r="NU39" s="500"/>
      <c r="NV39" s="500"/>
      <c r="NW39" s="500"/>
      <c r="NX39" s="500"/>
      <c r="NY39" s="500"/>
      <c r="NZ39" s="500"/>
      <c r="OA39" s="500"/>
      <c r="OB39" s="500"/>
      <c r="OC39" s="500"/>
      <c r="OD39" s="500"/>
      <c r="OE39" s="500"/>
      <c r="OF39" s="500"/>
      <c r="OG39" s="500"/>
      <c r="OH39" s="500"/>
      <c r="OI39" s="500"/>
      <c r="OJ39" s="500"/>
      <c r="OK39" s="500"/>
      <c r="OL39" s="500"/>
      <c r="OM39" s="500"/>
      <c r="ON39" s="500"/>
      <c r="OO39" s="500"/>
      <c r="OP39" s="500"/>
      <c r="OQ39" s="500"/>
      <c r="OR39" s="500"/>
      <c r="OS39" s="500"/>
      <c r="OT39" s="500"/>
      <c r="OU39" s="500"/>
      <c r="OV39" s="500"/>
      <c r="OW39" s="500"/>
      <c r="OX39" s="500"/>
      <c r="OY39" s="500"/>
      <c r="OZ39" s="500"/>
      <c r="PA39" s="500"/>
      <c r="PB39" s="500"/>
      <c r="PC39" s="500"/>
      <c r="PD39" s="500"/>
      <c r="PE39" s="500"/>
      <c r="PF39" s="500"/>
      <c r="PG39" s="500"/>
      <c r="PH39" s="500"/>
      <c r="PI39" s="500"/>
      <c r="PJ39" s="500"/>
      <c r="PK39" s="500"/>
      <c r="PL39" s="500"/>
      <c r="PM39" s="500"/>
      <c r="PN39" s="500"/>
      <c r="PO39" s="500"/>
      <c r="PP39" s="500"/>
      <c r="PQ39" s="500"/>
      <c r="PR39" s="500"/>
      <c r="PS39" s="500"/>
      <c r="PT39" s="500"/>
      <c r="PU39" s="500"/>
      <c r="PV39" s="500"/>
      <c r="PW39" s="500"/>
      <c r="PX39" s="500"/>
      <c r="PY39" s="500"/>
      <c r="PZ39" s="500"/>
      <c r="QA39" s="500"/>
      <c r="QB39" s="500"/>
      <c r="QC39" s="500"/>
      <c r="QD39" s="500"/>
      <c r="QE39" s="500"/>
      <c r="QF39" s="500"/>
      <c r="QG39" s="500"/>
      <c r="QH39" s="500"/>
      <c r="QI39" s="500"/>
      <c r="QJ39" s="500"/>
      <c r="QK39" s="500"/>
      <c r="QL39" s="500"/>
      <c r="QM39" s="500"/>
      <c r="QN39" s="500"/>
      <c r="QO39" s="500"/>
      <c r="QP39" s="500"/>
      <c r="QQ39" s="500"/>
      <c r="QR39" s="500"/>
      <c r="QS39" s="500"/>
      <c r="QT39" s="500"/>
      <c r="QU39" s="500"/>
      <c r="QV39" s="500"/>
      <c r="QW39" s="500"/>
      <c r="QX39" s="500"/>
      <c r="QY39" s="500"/>
      <c r="QZ39" s="500"/>
      <c r="RA39" s="500"/>
      <c r="RB39" s="500"/>
      <c r="RC39" s="500"/>
      <c r="RD39" s="500"/>
      <c r="RE39" s="500"/>
      <c r="RF39" s="500"/>
      <c r="RG39" s="500"/>
      <c r="RH39" s="500"/>
      <c r="RI39" s="500"/>
      <c r="RJ39" s="500"/>
      <c r="RK39" s="500"/>
      <c r="RL39" s="500"/>
      <c r="RM39" s="500"/>
      <c r="RN39" s="500"/>
      <c r="RO39" s="500"/>
      <c r="RP39" s="500"/>
      <c r="RQ39" s="500"/>
      <c r="RR39" s="500"/>
      <c r="RS39" s="500"/>
      <c r="RT39" s="500"/>
      <c r="RU39" s="500"/>
      <c r="RV39" s="500"/>
      <c r="RW39" s="500"/>
      <c r="RX39" s="500"/>
      <c r="RY39" s="500"/>
      <c r="RZ39" s="500"/>
      <c r="SA39" s="500"/>
      <c r="SB39" s="500"/>
      <c r="SC39" s="500"/>
      <c r="SD39" s="500"/>
      <c r="SE39" s="500"/>
      <c r="SF39" s="500"/>
      <c r="SG39" s="500"/>
      <c r="SH39" s="500"/>
      <c r="SI39" s="500"/>
      <c r="SJ39" s="500"/>
      <c r="SK39" s="500"/>
      <c r="SL39" s="500"/>
      <c r="SM39" s="500"/>
      <c r="SN39" s="500"/>
      <c r="SO39" s="500"/>
      <c r="SP39" s="500"/>
      <c r="SQ39" s="500"/>
      <c r="SR39" s="500"/>
      <c r="SS39" s="500"/>
      <c r="ST39" s="500"/>
      <c r="SU39" s="500"/>
      <c r="SV39" s="500"/>
      <c r="SW39" s="500"/>
      <c r="SX39" s="500"/>
      <c r="SY39" s="500"/>
      <c r="SZ39" s="500"/>
      <c r="TA39" s="500"/>
      <c r="TB39" s="500"/>
      <c r="TC39" s="500"/>
      <c r="TD39" s="500"/>
      <c r="TE39" s="500"/>
      <c r="TF39" s="500"/>
      <c r="TG39" s="500"/>
      <c r="TH39" s="500"/>
      <c r="TI39" s="500"/>
      <c r="TJ39" s="500"/>
      <c r="TK39" s="500"/>
      <c r="TL39" s="500"/>
      <c r="TM39" s="500"/>
      <c r="TN39" s="500"/>
      <c r="TO39" s="500"/>
      <c r="TP39" s="500"/>
      <c r="TQ39" s="500"/>
      <c r="TR39" s="500"/>
      <c r="TS39" s="500"/>
      <c r="TT39" s="500"/>
      <c r="TU39" s="500"/>
      <c r="TV39" s="500"/>
      <c r="TW39" s="500"/>
      <c r="TX39" s="500"/>
      <c r="TY39" s="500"/>
      <c r="TZ39" s="500"/>
      <c r="UA39" s="500"/>
      <c r="UB39" s="500"/>
      <c r="UC39" s="500"/>
      <c r="UD39" s="500"/>
      <c r="UE39" s="500"/>
      <c r="UF39" s="500"/>
      <c r="UG39" s="500"/>
      <c r="UH39" s="500"/>
      <c r="UI39" s="500"/>
      <c r="UJ39" s="500"/>
      <c r="UK39" s="500"/>
      <c r="UL39" s="500"/>
      <c r="UM39" s="500"/>
      <c r="UN39" s="500"/>
      <c r="UO39" s="500"/>
      <c r="UP39" s="500"/>
      <c r="UQ39" s="500"/>
      <c r="UR39" s="500"/>
      <c r="US39" s="500"/>
      <c r="UT39" s="500"/>
      <c r="UU39" s="500"/>
      <c r="UV39" s="500"/>
      <c r="UW39" s="500"/>
      <c r="UX39" s="500"/>
      <c r="UY39" s="500"/>
      <c r="UZ39" s="500"/>
      <c r="VA39" s="500"/>
      <c r="VB39" s="500"/>
      <c r="VC39" s="500"/>
      <c r="VD39" s="500"/>
      <c r="VE39" s="500"/>
      <c r="VF39" s="500"/>
      <c r="VG39" s="500"/>
      <c r="VH39" s="500"/>
      <c r="VI39" s="500"/>
      <c r="VJ39" s="500"/>
      <c r="VK39" s="500"/>
      <c r="VL39" s="500"/>
      <c r="VM39" s="500"/>
      <c r="VN39" s="500"/>
      <c r="VO39" s="500"/>
      <c r="VP39" s="500"/>
      <c r="VQ39" s="500"/>
      <c r="VR39" s="500"/>
      <c r="VS39" s="500"/>
      <c r="VT39" s="500"/>
      <c r="VU39" s="500"/>
      <c r="VV39" s="500"/>
      <c r="VW39" s="500"/>
      <c r="VX39" s="500"/>
      <c r="VY39" s="500"/>
      <c r="VZ39" s="500"/>
      <c r="WA39" s="500"/>
      <c r="WB39" s="500"/>
      <c r="WC39" s="500"/>
      <c r="WD39" s="500"/>
      <c r="WE39" s="500"/>
      <c r="WF39" s="500"/>
    </row>
    <row r="40" spans="1:604" s="607" customFormat="1" ht="63" x14ac:dyDescent="0.2">
      <c r="A40" s="440"/>
      <c r="B40" s="440"/>
      <c r="C40" s="450" t="s">
        <v>701</v>
      </c>
      <c r="D40" s="440" t="s">
        <v>192</v>
      </c>
      <c r="E40" s="440">
        <v>100980</v>
      </c>
      <c r="F40" s="608" t="s">
        <v>368</v>
      </c>
      <c r="G40" s="437">
        <f>'MC-DRE'!J38</f>
        <v>77.72</v>
      </c>
      <c r="H40" s="440" t="s">
        <v>0</v>
      </c>
      <c r="I40" s="479">
        <f>I30</f>
        <v>6.33</v>
      </c>
      <c r="J40" s="439">
        <f t="shared" si="1"/>
        <v>8.07</v>
      </c>
      <c r="K40" s="605">
        <f t="shared" si="2"/>
        <v>627.20000000000005</v>
      </c>
      <c r="L40" s="589"/>
      <c r="M40" s="589"/>
      <c r="N40" s="606"/>
      <c r="O40" s="606"/>
      <c r="P40" s="606"/>
      <c r="Q40" s="606"/>
      <c r="R40" s="606"/>
      <c r="S40" s="606"/>
      <c r="T40" s="606"/>
      <c r="U40" s="606"/>
      <c r="V40" s="606"/>
      <c r="W40" s="606"/>
      <c r="X40" s="606"/>
      <c r="Y40" s="606"/>
      <c r="Z40" s="606"/>
      <c r="AA40" s="606"/>
      <c r="AB40" s="606"/>
      <c r="AC40" s="606"/>
      <c r="AD40" s="606"/>
      <c r="AE40" s="606"/>
      <c r="AF40" s="606"/>
      <c r="AG40" s="606"/>
      <c r="AH40" s="606"/>
      <c r="AI40" s="606"/>
      <c r="AJ40" s="606"/>
      <c r="AK40" s="606"/>
      <c r="AL40" s="606"/>
      <c r="AM40" s="606"/>
      <c r="AN40" s="606"/>
      <c r="AO40" s="606"/>
      <c r="AP40" s="606"/>
      <c r="AQ40" s="606"/>
      <c r="AR40" s="606"/>
      <c r="AS40" s="606"/>
      <c r="AT40" s="606"/>
      <c r="AU40" s="606"/>
      <c r="AV40" s="606"/>
      <c r="AW40" s="606"/>
      <c r="AX40" s="606"/>
      <c r="AY40" s="606"/>
      <c r="AZ40" s="606"/>
      <c r="BA40" s="606"/>
      <c r="BB40" s="606"/>
      <c r="BC40" s="606"/>
      <c r="BD40" s="606"/>
      <c r="BE40" s="606"/>
      <c r="BF40" s="606"/>
      <c r="BG40" s="606"/>
      <c r="BH40" s="606"/>
      <c r="BI40" s="606"/>
      <c r="BJ40" s="606"/>
      <c r="BK40" s="606"/>
      <c r="BL40" s="606"/>
      <c r="BM40" s="606"/>
      <c r="BN40" s="606"/>
      <c r="BO40" s="606"/>
      <c r="BP40" s="606"/>
      <c r="BQ40" s="606"/>
      <c r="BR40" s="606"/>
      <c r="BS40" s="606"/>
      <c r="BT40" s="606"/>
      <c r="BU40" s="606"/>
      <c r="BV40" s="606"/>
      <c r="BW40" s="606"/>
      <c r="BX40" s="606"/>
      <c r="BY40" s="606"/>
      <c r="BZ40" s="606"/>
      <c r="CA40" s="606"/>
      <c r="CB40" s="606"/>
      <c r="CC40" s="606"/>
      <c r="CD40" s="606"/>
      <c r="CE40" s="606"/>
      <c r="CF40" s="606"/>
      <c r="CG40" s="606"/>
      <c r="CH40" s="606"/>
      <c r="CI40" s="606"/>
      <c r="CJ40" s="606"/>
      <c r="CK40" s="606"/>
      <c r="CL40" s="606"/>
      <c r="CM40" s="606"/>
      <c r="CN40" s="606"/>
      <c r="CO40" s="606"/>
      <c r="CP40" s="606"/>
      <c r="CQ40" s="606"/>
      <c r="CR40" s="606"/>
      <c r="CS40" s="606"/>
      <c r="CT40" s="606"/>
      <c r="CU40" s="606"/>
      <c r="CV40" s="606"/>
      <c r="CW40" s="606"/>
      <c r="CX40" s="606"/>
      <c r="CY40" s="606"/>
      <c r="CZ40" s="606"/>
      <c r="DA40" s="606"/>
      <c r="DB40" s="606"/>
      <c r="DC40" s="606"/>
      <c r="DD40" s="606"/>
      <c r="DE40" s="606"/>
      <c r="DF40" s="606"/>
      <c r="DG40" s="606"/>
      <c r="DH40" s="606"/>
      <c r="DI40" s="606"/>
      <c r="DJ40" s="606"/>
      <c r="DK40" s="606"/>
      <c r="DL40" s="606"/>
      <c r="DM40" s="606"/>
      <c r="DN40" s="606"/>
      <c r="DO40" s="606"/>
      <c r="DP40" s="606"/>
      <c r="DQ40" s="606"/>
      <c r="DR40" s="606"/>
      <c r="DS40" s="606"/>
      <c r="DT40" s="606"/>
      <c r="DU40" s="606"/>
      <c r="DV40" s="606"/>
      <c r="DW40" s="606"/>
      <c r="DX40" s="606"/>
      <c r="DY40" s="606"/>
      <c r="DZ40" s="606"/>
      <c r="EA40" s="606"/>
      <c r="EB40" s="606"/>
      <c r="EC40" s="606"/>
      <c r="ED40" s="606"/>
      <c r="EE40" s="606"/>
      <c r="EF40" s="606"/>
      <c r="EG40" s="606"/>
      <c r="EH40" s="606"/>
      <c r="EI40" s="606"/>
      <c r="EJ40" s="606"/>
      <c r="EK40" s="606"/>
      <c r="EL40" s="606"/>
      <c r="EM40" s="606"/>
      <c r="EN40" s="606"/>
      <c r="EO40" s="606"/>
      <c r="EP40" s="606"/>
      <c r="EQ40" s="606"/>
      <c r="ER40" s="606"/>
      <c r="ES40" s="606"/>
      <c r="ET40" s="606"/>
      <c r="EU40" s="606"/>
      <c r="EV40" s="606"/>
      <c r="EW40" s="606"/>
      <c r="EX40" s="606"/>
      <c r="EY40" s="606"/>
      <c r="EZ40" s="606"/>
      <c r="FA40" s="606"/>
      <c r="FB40" s="606"/>
      <c r="FC40" s="606"/>
      <c r="FD40" s="606"/>
      <c r="FE40" s="606"/>
      <c r="FF40" s="606"/>
      <c r="FG40" s="606"/>
      <c r="FH40" s="606"/>
      <c r="FI40" s="606"/>
      <c r="FJ40" s="606"/>
      <c r="FK40" s="606"/>
      <c r="FL40" s="606"/>
      <c r="FM40" s="606"/>
      <c r="FN40" s="606"/>
      <c r="FO40" s="606"/>
      <c r="FP40" s="606"/>
      <c r="FQ40" s="606"/>
      <c r="FR40" s="606"/>
      <c r="FS40" s="606"/>
      <c r="FT40" s="606"/>
      <c r="FU40" s="606"/>
      <c r="FV40" s="606"/>
      <c r="FW40" s="606"/>
      <c r="FX40" s="606"/>
      <c r="FY40" s="606"/>
      <c r="FZ40" s="606"/>
      <c r="GA40" s="606"/>
      <c r="GB40" s="606"/>
      <c r="GC40" s="606"/>
      <c r="GD40" s="606"/>
      <c r="GE40" s="606"/>
      <c r="GF40" s="606"/>
      <c r="GG40" s="606"/>
      <c r="GH40" s="606"/>
      <c r="GI40" s="606"/>
      <c r="GJ40" s="606"/>
      <c r="GK40" s="606"/>
      <c r="GL40" s="606"/>
      <c r="GM40" s="606"/>
      <c r="GN40" s="606"/>
      <c r="GO40" s="606"/>
      <c r="GP40" s="606"/>
      <c r="GQ40" s="606"/>
      <c r="GR40" s="606"/>
      <c r="GS40" s="606"/>
      <c r="GT40" s="606"/>
      <c r="GU40" s="606"/>
      <c r="GV40" s="606"/>
      <c r="GW40" s="606"/>
      <c r="GX40" s="606"/>
      <c r="GY40" s="606"/>
      <c r="GZ40" s="606"/>
      <c r="HA40" s="606"/>
      <c r="HB40" s="606"/>
      <c r="HC40" s="606"/>
      <c r="HD40" s="606"/>
      <c r="HE40" s="606"/>
      <c r="HF40" s="606"/>
      <c r="HG40" s="606"/>
      <c r="HH40" s="606"/>
      <c r="HI40" s="606"/>
      <c r="HJ40" s="606"/>
      <c r="HK40" s="606"/>
      <c r="HL40" s="606"/>
      <c r="HM40" s="606"/>
      <c r="HN40" s="606"/>
      <c r="HO40" s="606"/>
      <c r="HP40" s="606"/>
      <c r="HQ40" s="606"/>
      <c r="HR40" s="606"/>
      <c r="HS40" s="606"/>
      <c r="HT40" s="606"/>
      <c r="HU40" s="606"/>
      <c r="HV40" s="606"/>
      <c r="HW40" s="606"/>
      <c r="HX40" s="606"/>
      <c r="HY40" s="606"/>
      <c r="HZ40" s="606"/>
      <c r="IA40" s="606"/>
      <c r="IB40" s="606"/>
      <c r="IC40" s="606"/>
      <c r="ID40" s="606"/>
      <c r="IE40" s="606"/>
      <c r="IF40" s="606"/>
      <c r="IG40" s="606"/>
      <c r="IH40" s="606"/>
      <c r="II40" s="606"/>
      <c r="IJ40" s="606"/>
      <c r="IK40" s="606"/>
      <c r="IL40" s="606"/>
      <c r="IM40" s="606"/>
      <c r="IN40" s="606"/>
      <c r="IO40" s="606"/>
      <c r="IP40" s="606"/>
      <c r="IQ40" s="606"/>
      <c r="IR40" s="606"/>
      <c r="IS40" s="606"/>
      <c r="IT40" s="606"/>
      <c r="IU40" s="606"/>
      <c r="IV40" s="606"/>
      <c r="IW40" s="606"/>
      <c r="IX40" s="606"/>
      <c r="IY40" s="606"/>
      <c r="IZ40" s="606"/>
      <c r="JA40" s="606"/>
      <c r="JB40" s="606"/>
      <c r="JC40" s="606"/>
      <c r="JD40" s="606"/>
      <c r="JE40" s="606"/>
      <c r="JF40" s="606"/>
      <c r="JG40" s="606"/>
      <c r="JH40" s="606"/>
      <c r="JI40" s="606"/>
      <c r="JJ40" s="606"/>
      <c r="JK40" s="606"/>
      <c r="JL40" s="606"/>
      <c r="JM40" s="606"/>
      <c r="JN40" s="606"/>
      <c r="JO40" s="606"/>
      <c r="JP40" s="606"/>
      <c r="JQ40" s="606"/>
      <c r="JR40" s="606"/>
      <c r="JS40" s="606"/>
      <c r="JT40" s="606"/>
      <c r="JU40" s="606"/>
      <c r="JV40" s="606"/>
      <c r="JW40" s="606"/>
      <c r="JX40" s="606"/>
      <c r="JY40" s="606"/>
      <c r="JZ40" s="606"/>
      <c r="KA40" s="606"/>
      <c r="KB40" s="606"/>
      <c r="KC40" s="606"/>
      <c r="KD40" s="606"/>
      <c r="KE40" s="606"/>
      <c r="KF40" s="606"/>
      <c r="KG40" s="606"/>
      <c r="KH40" s="606"/>
      <c r="KI40" s="606"/>
      <c r="KJ40" s="606"/>
      <c r="KK40" s="606"/>
      <c r="KL40" s="606"/>
      <c r="KM40" s="606"/>
      <c r="KN40" s="606"/>
      <c r="KO40" s="606"/>
      <c r="KP40" s="606"/>
      <c r="KQ40" s="606"/>
      <c r="KR40" s="606"/>
      <c r="KS40" s="606"/>
      <c r="KT40" s="606"/>
      <c r="KU40" s="606"/>
      <c r="KV40" s="606"/>
      <c r="KW40" s="606"/>
      <c r="KX40" s="606"/>
      <c r="KY40" s="606"/>
      <c r="KZ40" s="606"/>
      <c r="LA40" s="606"/>
      <c r="LB40" s="606"/>
      <c r="LC40" s="606"/>
      <c r="LD40" s="606"/>
      <c r="LE40" s="606"/>
      <c r="LF40" s="606"/>
      <c r="LG40" s="606"/>
      <c r="LH40" s="606"/>
      <c r="LI40" s="606"/>
      <c r="LJ40" s="606"/>
      <c r="LK40" s="606"/>
      <c r="LL40" s="606"/>
      <c r="LM40" s="606"/>
      <c r="LN40" s="606"/>
      <c r="LO40" s="606"/>
      <c r="LP40" s="606"/>
      <c r="LQ40" s="606"/>
      <c r="LR40" s="606"/>
      <c r="LS40" s="606"/>
      <c r="LT40" s="606"/>
      <c r="LU40" s="606"/>
      <c r="LV40" s="606"/>
      <c r="LW40" s="606"/>
      <c r="LX40" s="606"/>
      <c r="LY40" s="606"/>
      <c r="LZ40" s="606"/>
      <c r="MA40" s="606"/>
      <c r="MB40" s="606"/>
      <c r="MC40" s="606"/>
      <c r="MD40" s="606"/>
      <c r="ME40" s="606"/>
      <c r="MF40" s="606"/>
      <c r="MG40" s="606"/>
      <c r="MH40" s="606"/>
      <c r="MI40" s="606"/>
      <c r="MJ40" s="606"/>
      <c r="MK40" s="606"/>
      <c r="ML40" s="606"/>
      <c r="MM40" s="606"/>
      <c r="MN40" s="606"/>
      <c r="MO40" s="606"/>
      <c r="MP40" s="606"/>
      <c r="MQ40" s="606"/>
      <c r="MR40" s="606"/>
      <c r="MS40" s="606"/>
      <c r="MT40" s="606"/>
      <c r="MU40" s="606"/>
      <c r="MV40" s="606"/>
      <c r="MW40" s="606"/>
      <c r="MX40" s="606"/>
      <c r="MY40" s="606"/>
      <c r="MZ40" s="606"/>
      <c r="NA40" s="606"/>
      <c r="NB40" s="606"/>
      <c r="NC40" s="606"/>
      <c r="ND40" s="606"/>
      <c r="NE40" s="606"/>
      <c r="NF40" s="606"/>
      <c r="NG40" s="606"/>
      <c r="NH40" s="606"/>
      <c r="NI40" s="606"/>
      <c r="NJ40" s="606"/>
      <c r="NK40" s="606"/>
      <c r="NL40" s="606"/>
      <c r="NM40" s="606"/>
      <c r="NN40" s="606"/>
      <c r="NO40" s="606"/>
      <c r="NP40" s="606"/>
      <c r="NQ40" s="606"/>
      <c r="NR40" s="606"/>
      <c r="NS40" s="606"/>
      <c r="NT40" s="606"/>
      <c r="NU40" s="606"/>
      <c r="NV40" s="606"/>
      <c r="NW40" s="606"/>
      <c r="NX40" s="606"/>
      <c r="NY40" s="606"/>
      <c r="NZ40" s="606"/>
      <c r="OA40" s="606"/>
      <c r="OB40" s="606"/>
      <c r="OC40" s="606"/>
      <c r="OD40" s="606"/>
      <c r="OE40" s="606"/>
      <c r="OF40" s="606"/>
      <c r="OG40" s="606"/>
      <c r="OH40" s="606"/>
      <c r="OI40" s="606"/>
      <c r="OJ40" s="606"/>
      <c r="OK40" s="606"/>
      <c r="OL40" s="606"/>
      <c r="OM40" s="606"/>
      <c r="ON40" s="606"/>
      <c r="OO40" s="606"/>
      <c r="OP40" s="606"/>
      <c r="OQ40" s="606"/>
      <c r="OR40" s="606"/>
      <c r="OS40" s="606"/>
      <c r="OT40" s="606"/>
      <c r="OU40" s="606"/>
      <c r="OV40" s="606"/>
      <c r="OW40" s="606"/>
      <c r="OX40" s="606"/>
      <c r="OY40" s="606"/>
      <c r="OZ40" s="606"/>
      <c r="PA40" s="606"/>
      <c r="PB40" s="606"/>
      <c r="PC40" s="606"/>
      <c r="PD40" s="606"/>
      <c r="PE40" s="606"/>
      <c r="PF40" s="606"/>
      <c r="PG40" s="606"/>
      <c r="PH40" s="606"/>
      <c r="PI40" s="606"/>
      <c r="PJ40" s="606"/>
      <c r="PK40" s="606"/>
      <c r="PL40" s="606"/>
      <c r="PM40" s="606"/>
      <c r="PN40" s="606"/>
      <c r="PO40" s="606"/>
      <c r="PP40" s="606"/>
      <c r="PQ40" s="606"/>
      <c r="PR40" s="606"/>
      <c r="PS40" s="606"/>
      <c r="PT40" s="606"/>
      <c r="PU40" s="606"/>
      <c r="PV40" s="606"/>
      <c r="PW40" s="606"/>
      <c r="PX40" s="606"/>
      <c r="PY40" s="606"/>
      <c r="PZ40" s="606"/>
      <c r="QA40" s="606"/>
      <c r="QB40" s="606"/>
      <c r="QC40" s="606"/>
      <c r="QD40" s="606"/>
      <c r="QE40" s="606"/>
      <c r="QF40" s="606"/>
      <c r="QG40" s="606"/>
      <c r="QH40" s="606"/>
      <c r="QI40" s="606"/>
      <c r="QJ40" s="606"/>
      <c r="QK40" s="606"/>
      <c r="QL40" s="606"/>
      <c r="QM40" s="606"/>
      <c r="QN40" s="606"/>
      <c r="QO40" s="606"/>
      <c r="QP40" s="606"/>
      <c r="QQ40" s="606"/>
      <c r="QR40" s="606"/>
      <c r="QS40" s="606"/>
      <c r="QT40" s="606"/>
      <c r="QU40" s="606"/>
      <c r="QV40" s="606"/>
      <c r="QW40" s="606"/>
      <c r="QX40" s="606"/>
      <c r="QY40" s="606"/>
      <c r="QZ40" s="606"/>
      <c r="RA40" s="606"/>
      <c r="RB40" s="606"/>
      <c r="RC40" s="606"/>
      <c r="RD40" s="606"/>
      <c r="RE40" s="606"/>
      <c r="RF40" s="606"/>
      <c r="RG40" s="606"/>
      <c r="RH40" s="606"/>
      <c r="RI40" s="606"/>
      <c r="RJ40" s="606"/>
      <c r="RK40" s="606"/>
      <c r="RL40" s="606"/>
      <c r="RM40" s="606"/>
      <c r="RN40" s="606"/>
      <c r="RO40" s="606"/>
      <c r="RP40" s="606"/>
      <c r="RQ40" s="606"/>
      <c r="RR40" s="606"/>
      <c r="RS40" s="606"/>
      <c r="RT40" s="606"/>
      <c r="RU40" s="606"/>
      <c r="RV40" s="606"/>
      <c r="RW40" s="606"/>
      <c r="RX40" s="606"/>
      <c r="RY40" s="606"/>
      <c r="RZ40" s="606"/>
      <c r="SA40" s="606"/>
      <c r="SB40" s="606"/>
      <c r="SC40" s="606"/>
      <c r="SD40" s="606"/>
      <c r="SE40" s="606"/>
      <c r="SF40" s="606"/>
      <c r="SG40" s="606"/>
      <c r="SH40" s="606"/>
      <c r="SI40" s="606"/>
      <c r="SJ40" s="606"/>
      <c r="SK40" s="606"/>
      <c r="SL40" s="606"/>
      <c r="SM40" s="606"/>
      <c r="SN40" s="606"/>
      <c r="SO40" s="606"/>
      <c r="SP40" s="606"/>
      <c r="SQ40" s="606"/>
      <c r="SR40" s="606"/>
      <c r="SS40" s="606"/>
      <c r="ST40" s="606"/>
      <c r="SU40" s="606"/>
      <c r="SV40" s="606"/>
      <c r="SW40" s="606"/>
      <c r="SX40" s="606"/>
      <c r="SY40" s="606"/>
      <c r="SZ40" s="606"/>
      <c r="TA40" s="606"/>
      <c r="TB40" s="606"/>
      <c r="TC40" s="606"/>
      <c r="TD40" s="606"/>
      <c r="TE40" s="606"/>
      <c r="TF40" s="606"/>
      <c r="TG40" s="606"/>
      <c r="TH40" s="606"/>
      <c r="TI40" s="606"/>
      <c r="TJ40" s="606"/>
      <c r="TK40" s="606"/>
      <c r="TL40" s="606"/>
      <c r="TM40" s="606"/>
      <c r="TN40" s="606"/>
      <c r="TO40" s="606"/>
      <c r="TP40" s="606"/>
      <c r="TQ40" s="606"/>
      <c r="TR40" s="606"/>
      <c r="TS40" s="606"/>
      <c r="TT40" s="606"/>
      <c r="TU40" s="606"/>
      <c r="TV40" s="606"/>
      <c r="TW40" s="606"/>
      <c r="TX40" s="606"/>
      <c r="TY40" s="606"/>
      <c r="TZ40" s="606"/>
      <c r="UA40" s="606"/>
      <c r="UB40" s="606"/>
      <c r="UC40" s="606"/>
      <c r="UD40" s="606"/>
      <c r="UE40" s="606"/>
      <c r="UF40" s="606"/>
      <c r="UG40" s="606"/>
      <c r="UH40" s="606"/>
      <c r="UI40" s="606"/>
      <c r="UJ40" s="606"/>
      <c r="UK40" s="606"/>
      <c r="UL40" s="606"/>
      <c r="UM40" s="606"/>
      <c r="UN40" s="606"/>
      <c r="UO40" s="606"/>
      <c r="UP40" s="606"/>
      <c r="UQ40" s="606"/>
      <c r="UR40" s="606"/>
      <c r="US40" s="606"/>
      <c r="UT40" s="606"/>
      <c r="UU40" s="606"/>
      <c r="UV40" s="606"/>
      <c r="UW40" s="606"/>
      <c r="UX40" s="606"/>
      <c r="UY40" s="606"/>
      <c r="UZ40" s="606"/>
      <c r="VA40" s="606"/>
      <c r="VB40" s="606"/>
      <c r="VC40" s="606"/>
      <c r="VD40" s="606"/>
      <c r="VE40" s="606"/>
      <c r="VF40" s="606"/>
      <c r="VG40" s="606"/>
      <c r="VH40" s="606"/>
      <c r="VI40" s="606"/>
      <c r="VJ40" s="606"/>
      <c r="VK40" s="606"/>
      <c r="VL40" s="606"/>
      <c r="VM40" s="606"/>
      <c r="VN40" s="606"/>
      <c r="VO40" s="606"/>
      <c r="VP40" s="606"/>
      <c r="VQ40" s="606"/>
      <c r="VR40" s="606"/>
      <c r="VS40" s="606"/>
      <c r="VT40" s="606"/>
      <c r="VU40" s="606"/>
      <c r="VV40" s="606"/>
      <c r="VW40" s="606"/>
      <c r="VX40" s="606"/>
      <c r="VY40" s="606"/>
      <c r="VZ40" s="606"/>
      <c r="WA40" s="606"/>
      <c r="WB40" s="606"/>
      <c r="WC40" s="606"/>
      <c r="WD40" s="606"/>
      <c r="WE40" s="606"/>
      <c r="WF40" s="606"/>
    </row>
    <row r="41" spans="1:604" s="607" customFormat="1" ht="42" x14ac:dyDescent="0.2">
      <c r="A41" s="440"/>
      <c r="B41" s="440"/>
      <c r="C41" s="450" t="s">
        <v>702</v>
      </c>
      <c r="D41" s="440" t="s">
        <v>192</v>
      </c>
      <c r="E41" s="440">
        <v>93591</v>
      </c>
      <c r="F41" s="608" t="s">
        <v>370</v>
      </c>
      <c r="G41" s="437">
        <f>'MC-DRE'!K38</f>
        <v>971.5</v>
      </c>
      <c r="H41" s="440" t="s">
        <v>245</v>
      </c>
      <c r="I41" s="479">
        <f t="shared" ref="I41:I46" si="3">I31</f>
        <v>2.78</v>
      </c>
      <c r="J41" s="439">
        <f t="shared" si="1"/>
        <v>3.54</v>
      </c>
      <c r="K41" s="605">
        <f t="shared" si="2"/>
        <v>3439.11</v>
      </c>
      <c r="L41" s="589"/>
      <c r="M41" s="589"/>
      <c r="N41" s="606"/>
      <c r="O41" s="606"/>
      <c r="P41" s="606"/>
      <c r="Q41" s="606"/>
      <c r="R41" s="606"/>
      <c r="S41" s="606"/>
      <c r="T41" s="606"/>
      <c r="U41" s="606"/>
      <c r="V41" s="606"/>
      <c r="W41" s="606"/>
      <c r="X41" s="606"/>
      <c r="Y41" s="606"/>
      <c r="Z41" s="606"/>
      <c r="AA41" s="606"/>
      <c r="AB41" s="606"/>
      <c r="AC41" s="606"/>
      <c r="AD41" s="606"/>
      <c r="AE41" s="606"/>
      <c r="AF41" s="606"/>
      <c r="AG41" s="606"/>
      <c r="AH41" s="606"/>
      <c r="AI41" s="606"/>
      <c r="AJ41" s="606"/>
      <c r="AK41" s="606"/>
      <c r="AL41" s="606"/>
      <c r="AM41" s="606"/>
      <c r="AN41" s="606"/>
      <c r="AO41" s="606"/>
      <c r="AP41" s="606"/>
      <c r="AQ41" s="606"/>
      <c r="AR41" s="606"/>
      <c r="AS41" s="606"/>
      <c r="AT41" s="606"/>
      <c r="AU41" s="606"/>
      <c r="AV41" s="606"/>
      <c r="AW41" s="606"/>
      <c r="AX41" s="606"/>
      <c r="AY41" s="606"/>
      <c r="AZ41" s="606"/>
      <c r="BA41" s="606"/>
      <c r="BB41" s="606"/>
      <c r="BC41" s="606"/>
      <c r="BD41" s="606"/>
      <c r="BE41" s="606"/>
      <c r="BF41" s="606"/>
      <c r="BG41" s="606"/>
      <c r="BH41" s="606"/>
      <c r="BI41" s="606"/>
      <c r="BJ41" s="606"/>
      <c r="BK41" s="606"/>
      <c r="BL41" s="606"/>
      <c r="BM41" s="606"/>
      <c r="BN41" s="606"/>
      <c r="BO41" s="606"/>
      <c r="BP41" s="606"/>
      <c r="BQ41" s="606"/>
      <c r="BR41" s="606"/>
      <c r="BS41" s="606"/>
      <c r="BT41" s="606"/>
      <c r="BU41" s="606"/>
      <c r="BV41" s="606"/>
      <c r="BW41" s="606"/>
      <c r="BX41" s="606"/>
      <c r="BY41" s="606"/>
      <c r="BZ41" s="606"/>
      <c r="CA41" s="606"/>
      <c r="CB41" s="606"/>
      <c r="CC41" s="606"/>
      <c r="CD41" s="606"/>
      <c r="CE41" s="606"/>
      <c r="CF41" s="606"/>
      <c r="CG41" s="606"/>
      <c r="CH41" s="606"/>
      <c r="CI41" s="606"/>
      <c r="CJ41" s="606"/>
      <c r="CK41" s="606"/>
      <c r="CL41" s="606"/>
      <c r="CM41" s="606"/>
      <c r="CN41" s="606"/>
      <c r="CO41" s="606"/>
      <c r="CP41" s="606"/>
      <c r="CQ41" s="606"/>
      <c r="CR41" s="606"/>
      <c r="CS41" s="606"/>
      <c r="CT41" s="606"/>
      <c r="CU41" s="606"/>
      <c r="CV41" s="606"/>
      <c r="CW41" s="606"/>
      <c r="CX41" s="606"/>
      <c r="CY41" s="606"/>
      <c r="CZ41" s="606"/>
      <c r="DA41" s="606"/>
      <c r="DB41" s="606"/>
      <c r="DC41" s="606"/>
      <c r="DD41" s="606"/>
      <c r="DE41" s="606"/>
      <c r="DF41" s="606"/>
      <c r="DG41" s="606"/>
      <c r="DH41" s="606"/>
      <c r="DI41" s="606"/>
      <c r="DJ41" s="606"/>
      <c r="DK41" s="606"/>
      <c r="DL41" s="606"/>
      <c r="DM41" s="606"/>
      <c r="DN41" s="606"/>
      <c r="DO41" s="606"/>
      <c r="DP41" s="606"/>
      <c r="DQ41" s="606"/>
      <c r="DR41" s="606"/>
      <c r="DS41" s="606"/>
      <c r="DT41" s="606"/>
      <c r="DU41" s="606"/>
      <c r="DV41" s="606"/>
      <c r="DW41" s="606"/>
      <c r="DX41" s="606"/>
      <c r="DY41" s="606"/>
      <c r="DZ41" s="606"/>
      <c r="EA41" s="606"/>
      <c r="EB41" s="606"/>
      <c r="EC41" s="606"/>
      <c r="ED41" s="606"/>
      <c r="EE41" s="606"/>
      <c r="EF41" s="606"/>
      <c r="EG41" s="606"/>
      <c r="EH41" s="606"/>
      <c r="EI41" s="606"/>
      <c r="EJ41" s="606"/>
      <c r="EK41" s="606"/>
      <c r="EL41" s="606"/>
      <c r="EM41" s="606"/>
      <c r="EN41" s="606"/>
      <c r="EO41" s="606"/>
      <c r="EP41" s="606"/>
      <c r="EQ41" s="606"/>
      <c r="ER41" s="606"/>
      <c r="ES41" s="606"/>
      <c r="ET41" s="606"/>
      <c r="EU41" s="606"/>
      <c r="EV41" s="606"/>
      <c r="EW41" s="606"/>
      <c r="EX41" s="606"/>
      <c r="EY41" s="606"/>
      <c r="EZ41" s="606"/>
      <c r="FA41" s="606"/>
      <c r="FB41" s="606"/>
      <c r="FC41" s="606"/>
      <c r="FD41" s="606"/>
      <c r="FE41" s="606"/>
      <c r="FF41" s="606"/>
      <c r="FG41" s="606"/>
      <c r="FH41" s="606"/>
      <c r="FI41" s="606"/>
      <c r="FJ41" s="606"/>
      <c r="FK41" s="606"/>
      <c r="FL41" s="606"/>
      <c r="FM41" s="606"/>
      <c r="FN41" s="606"/>
      <c r="FO41" s="606"/>
      <c r="FP41" s="606"/>
      <c r="FQ41" s="606"/>
      <c r="FR41" s="606"/>
      <c r="FS41" s="606"/>
      <c r="FT41" s="606"/>
      <c r="FU41" s="606"/>
      <c r="FV41" s="606"/>
      <c r="FW41" s="606"/>
      <c r="FX41" s="606"/>
      <c r="FY41" s="606"/>
      <c r="FZ41" s="606"/>
      <c r="GA41" s="606"/>
      <c r="GB41" s="606"/>
      <c r="GC41" s="606"/>
      <c r="GD41" s="606"/>
      <c r="GE41" s="606"/>
      <c r="GF41" s="606"/>
      <c r="GG41" s="606"/>
      <c r="GH41" s="606"/>
      <c r="GI41" s="606"/>
      <c r="GJ41" s="606"/>
      <c r="GK41" s="606"/>
      <c r="GL41" s="606"/>
      <c r="GM41" s="606"/>
      <c r="GN41" s="606"/>
      <c r="GO41" s="606"/>
      <c r="GP41" s="606"/>
      <c r="GQ41" s="606"/>
      <c r="GR41" s="606"/>
      <c r="GS41" s="606"/>
      <c r="GT41" s="606"/>
      <c r="GU41" s="606"/>
      <c r="GV41" s="606"/>
      <c r="GW41" s="606"/>
      <c r="GX41" s="606"/>
      <c r="GY41" s="606"/>
      <c r="GZ41" s="606"/>
      <c r="HA41" s="606"/>
      <c r="HB41" s="606"/>
      <c r="HC41" s="606"/>
      <c r="HD41" s="606"/>
      <c r="HE41" s="606"/>
      <c r="HF41" s="606"/>
      <c r="HG41" s="606"/>
      <c r="HH41" s="606"/>
      <c r="HI41" s="606"/>
      <c r="HJ41" s="606"/>
      <c r="HK41" s="606"/>
      <c r="HL41" s="606"/>
      <c r="HM41" s="606"/>
      <c r="HN41" s="606"/>
      <c r="HO41" s="606"/>
      <c r="HP41" s="606"/>
      <c r="HQ41" s="606"/>
      <c r="HR41" s="606"/>
      <c r="HS41" s="606"/>
      <c r="HT41" s="606"/>
      <c r="HU41" s="606"/>
      <c r="HV41" s="606"/>
      <c r="HW41" s="606"/>
      <c r="HX41" s="606"/>
      <c r="HY41" s="606"/>
      <c r="HZ41" s="606"/>
      <c r="IA41" s="606"/>
      <c r="IB41" s="606"/>
      <c r="IC41" s="606"/>
      <c r="ID41" s="606"/>
      <c r="IE41" s="606"/>
      <c r="IF41" s="606"/>
      <c r="IG41" s="606"/>
      <c r="IH41" s="606"/>
      <c r="II41" s="606"/>
      <c r="IJ41" s="606"/>
      <c r="IK41" s="606"/>
      <c r="IL41" s="606"/>
      <c r="IM41" s="606"/>
      <c r="IN41" s="606"/>
      <c r="IO41" s="606"/>
      <c r="IP41" s="606"/>
      <c r="IQ41" s="606"/>
      <c r="IR41" s="606"/>
      <c r="IS41" s="606"/>
      <c r="IT41" s="606"/>
      <c r="IU41" s="606"/>
      <c r="IV41" s="606"/>
      <c r="IW41" s="606"/>
      <c r="IX41" s="606"/>
      <c r="IY41" s="606"/>
      <c r="IZ41" s="606"/>
      <c r="JA41" s="606"/>
      <c r="JB41" s="606"/>
      <c r="JC41" s="606"/>
      <c r="JD41" s="606"/>
      <c r="JE41" s="606"/>
      <c r="JF41" s="606"/>
      <c r="JG41" s="606"/>
      <c r="JH41" s="606"/>
      <c r="JI41" s="606"/>
      <c r="JJ41" s="606"/>
      <c r="JK41" s="606"/>
      <c r="JL41" s="606"/>
      <c r="JM41" s="606"/>
      <c r="JN41" s="606"/>
      <c r="JO41" s="606"/>
      <c r="JP41" s="606"/>
      <c r="JQ41" s="606"/>
      <c r="JR41" s="606"/>
      <c r="JS41" s="606"/>
      <c r="JT41" s="606"/>
      <c r="JU41" s="606"/>
      <c r="JV41" s="606"/>
      <c r="JW41" s="606"/>
      <c r="JX41" s="606"/>
      <c r="JY41" s="606"/>
      <c r="JZ41" s="606"/>
      <c r="KA41" s="606"/>
      <c r="KB41" s="606"/>
      <c r="KC41" s="606"/>
      <c r="KD41" s="606"/>
      <c r="KE41" s="606"/>
      <c r="KF41" s="606"/>
      <c r="KG41" s="606"/>
      <c r="KH41" s="606"/>
      <c r="KI41" s="606"/>
      <c r="KJ41" s="606"/>
      <c r="KK41" s="606"/>
      <c r="KL41" s="606"/>
      <c r="KM41" s="606"/>
      <c r="KN41" s="606"/>
      <c r="KO41" s="606"/>
      <c r="KP41" s="606"/>
      <c r="KQ41" s="606"/>
      <c r="KR41" s="606"/>
      <c r="KS41" s="606"/>
      <c r="KT41" s="606"/>
      <c r="KU41" s="606"/>
      <c r="KV41" s="606"/>
      <c r="KW41" s="606"/>
      <c r="KX41" s="606"/>
      <c r="KY41" s="606"/>
      <c r="KZ41" s="606"/>
      <c r="LA41" s="606"/>
      <c r="LB41" s="606"/>
      <c r="LC41" s="606"/>
      <c r="LD41" s="606"/>
      <c r="LE41" s="606"/>
      <c r="LF41" s="606"/>
      <c r="LG41" s="606"/>
      <c r="LH41" s="606"/>
      <c r="LI41" s="606"/>
      <c r="LJ41" s="606"/>
      <c r="LK41" s="606"/>
      <c r="LL41" s="606"/>
      <c r="LM41" s="606"/>
      <c r="LN41" s="606"/>
      <c r="LO41" s="606"/>
      <c r="LP41" s="606"/>
      <c r="LQ41" s="606"/>
      <c r="LR41" s="606"/>
      <c r="LS41" s="606"/>
      <c r="LT41" s="606"/>
      <c r="LU41" s="606"/>
      <c r="LV41" s="606"/>
      <c r="LW41" s="606"/>
      <c r="LX41" s="606"/>
      <c r="LY41" s="606"/>
      <c r="LZ41" s="606"/>
      <c r="MA41" s="606"/>
      <c r="MB41" s="606"/>
      <c r="MC41" s="606"/>
      <c r="MD41" s="606"/>
      <c r="ME41" s="606"/>
      <c r="MF41" s="606"/>
      <c r="MG41" s="606"/>
      <c r="MH41" s="606"/>
      <c r="MI41" s="606"/>
      <c r="MJ41" s="606"/>
      <c r="MK41" s="606"/>
      <c r="ML41" s="606"/>
      <c r="MM41" s="606"/>
      <c r="MN41" s="606"/>
      <c r="MO41" s="606"/>
      <c r="MP41" s="606"/>
      <c r="MQ41" s="606"/>
      <c r="MR41" s="606"/>
      <c r="MS41" s="606"/>
      <c r="MT41" s="606"/>
      <c r="MU41" s="606"/>
      <c r="MV41" s="606"/>
      <c r="MW41" s="606"/>
      <c r="MX41" s="606"/>
      <c r="MY41" s="606"/>
      <c r="MZ41" s="606"/>
      <c r="NA41" s="606"/>
      <c r="NB41" s="606"/>
      <c r="NC41" s="606"/>
      <c r="ND41" s="606"/>
      <c r="NE41" s="606"/>
      <c r="NF41" s="606"/>
      <c r="NG41" s="606"/>
      <c r="NH41" s="606"/>
      <c r="NI41" s="606"/>
      <c r="NJ41" s="606"/>
      <c r="NK41" s="606"/>
      <c r="NL41" s="606"/>
      <c r="NM41" s="606"/>
      <c r="NN41" s="606"/>
      <c r="NO41" s="606"/>
      <c r="NP41" s="606"/>
      <c r="NQ41" s="606"/>
      <c r="NR41" s="606"/>
      <c r="NS41" s="606"/>
      <c r="NT41" s="606"/>
      <c r="NU41" s="606"/>
      <c r="NV41" s="606"/>
      <c r="NW41" s="606"/>
      <c r="NX41" s="606"/>
      <c r="NY41" s="606"/>
      <c r="NZ41" s="606"/>
      <c r="OA41" s="606"/>
      <c r="OB41" s="606"/>
      <c r="OC41" s="606"/>
      <c r="OD41" s="606"/>
      <c r="OE41" s="606"/>
      <c r="OF41" s="606"/>
      <c r="OG41" s="606"/>
      <c r="OH41" s="606"/>
      <c r="OI41" s="606"/>
      <c r="OJ41" s="606"/>
      <c r="OK41" s="606"/>
      <c r="OL41" s="606"/>
      <c r="OM41" s="606"/>
      <c r="ON41" s="606"/>
      <c r="OO41" s="606"/>
      <c r="OP41" s="606"/>
      <c r="OQ41" s="606"/>
      <c r="OR41" s="606"/>
      <c r="OS41" s="606"/>
      <c r="OT41" s="606"/>
      <c r="OU41" s="606"/>
      <c r="OV41" s="606"/>
      <c r="OW41" s="606"/>
      <c r="OX41" s="606"/>
      <c r="OY41" s="606"/>
      <c r="OZ41" s="606"/>
      <c r="PA41" s="606"/>
      <c r="PB41" s="606"/>
      <c r="PC41" s="606"/>
      <c r="PD41" s="606"/>
      <c r="PE41" s="606"/>
      <c r="PF41" s="606"/>
      <c r="PG41" s="606"/>
      <c r="PH41" s="606"/>
      <c r="PI41" s="606"/>
      <c r="PJ41" s="606"/>
      <c r="PK41" s="606"/>
      <c r="PL41" s="606"/>
      <c r="PM41" s="606"/>
      <c r="PN41" s="606"/>
      <c r="PO41" s="606"/>
      <c r="PP41" s="606"/>
      <c r="PQ41" s="606"/>
      <c r="PR41" s="606"/>
      <c r="PS41" s="606"/>
      <c r="PT41" s="606"/>
      <c r="PU41" s="606"/>
      <c r="PV41" s="606"/>
      <c r="PW41" s="606"/>
      <c r="PX41" s="606"/>
      <c r="PY41" s="606"/>
      <c r="PZ41" s="606"/>
      <c r="QA41" s="606"/>
      <c r="QB41" s="606"/>
      <c r="QC41" s="606"/>
      <c r="QD41" s="606"/>
      <c r="QE41" s="606"/>
      <c r="QF41" s="606"/>
      <c r="QG41" s="606"/>
      <c r="QH41" s="606"/>
      <c r="QI41" s="606"/>
      <c r="QJ41" s="606"/>
      <c r="QK41" s="606"/>
      <c r="QL41" s="606"/>
      <c r="QM41" s="606"/>
      <c r="QN41" s="606"/>
      <c r="QO41" s="606"/>
      <c r="QP41" s="606"/>
      <c r="QQ41" s="606"/>
      <c r="QR41" s="606"/>
      <c r="QS41" s="606"/>
      <c r="QT41" s="606"/>
      <c r="QU41" s="606"/>
      <c r="QV41" s="606"/>
      <c r="QW41" s="606"/>
      <c r="QX41" s="606"/>
      <c r="QY41" s="606"/>
      <c r="QZ41" s="606"/>
      <c r="RA41" s="606"/>
      <c r="RB41" s="606"/>
      <c r="RC41" s="606"/>
      <c r="RD41" s="606"/>
      <c r="RE41" s="606"/>
      <c r="RF41" s="606"/>
      <c r="RG41" s="606"/>
      <c r="RH41" s="606"/>
      <c r="RI41" s="606"/>
      <c r="RJ41" s="606"/>
      <c r="RK41" s="606"/>
      <c r="RL41" s="606"/>
      <c r="RM41" s="606"/>
      <c r="RN41" s="606"/>
      <c r="RO41" s="606"/>
      <c r="RP41" s="606"/>
      <c r="RQ41" s="606"/>
      <c r="RR41" s="606"/>
      <c r="RS41" s="606"/>
      <c r="RT41" s="606"/>
      <c r="RU41" s="606"/>
      <c r="RV41" s="606"/>
      <c r="RW41" s="606"/>
      <c r="RX41" s="606"/>
      <c r="RY41" s="606"/>
      <c r="RZ41" s="606"/>
      <c r="SA41" s="606"/>
      <c r="SB41" s="606"/>
      <c r="SC41" s="606"/>
      <c r="SD41" s="606"/>
      <c r="SE41" s="606"/>
      <c r="SF41" s="606"/>
      <c r="SG41" s="606"/>
      <c r="SH41" s="606"/>
      <c r="SI41" s="606"/>
      <c r="SJ41" s="606"/>
      <c r="SK41" s="606"/>
      <c r="SL41" s="606"/>
      <c r="SM41" s="606"/>
      <c r="SN41" s="606"/>
      <c r="SO41" s="606"/>
      <c r="SP41" s="606"/>
      <c r="SQ41" s="606"/>
      <c r="SR41" s="606"/>
      <c r="SS41" s="606"/>
      <c r="ST41" s="606"/>
      <c r="SU41" s="606"/>
      <c r="SV41" s="606"/>
      <c r="SW41" s="606"/>
      <c r="SX41" s="606"/>
      <c r="SY41" s="606"/>
      <c r="SZ41" s="606"/>
      <c r="TA41" s="606"/>
      <c r="TB41" s="606"/>
      <c r="TC41" s="606"/>
      <c r="TD41" s="606"/>
      <c r="TE41" s="606"/>
      <c r="TF41" s="606"/>
      <c r="TG41" s="606"/>
      <c r="TH41" s="606"/>
      <c r="TI41" s="606"/>
      <c r="TJ41" s="606"/>
      <c r="TK41" s="606"/>
      <c r="TL41" s="606"/>
      <c r="TM41" s="606"/>
      <c r="TN41" s="606"/>
      <c r="TO41" s="606"/>
      <c r="TP41" s="606"/>
      <c r="TQ41" s="606"/>
      <c r="TR41" s="606"/>
      <c r="TS41" s="606"/>
      <c r="TT41" s="606"/>
      <c r="TU41" s="606"/>
      <c r="TV41" s="606"/>
      <c r="TW41" s="606"/>
      <c r="TX41" s="606"/>
      <c r="TY41" s="606"/>
      <c r="TZ41" s="606"/>
      <c r="UA41" s="606"/>
      <c r="UB41" s="606"/>
      <c r="UC41" s="606"/>
      <c r="UD41" s="606"/>
      <c r="UE41" s="606"/>
      <c r="UF41" s="606"/>
      <c r="UG41" s="606"/>
      <c r="UH41" s="606"/>
      <c r="UI41" s="606"/>
      <c r="UJ41" s="606"/>
      <c r="UK41" s="606"/>
      <c r="UL41" s="606"/>
      <c r="UM41" s="606"/>
      <c r="UN41" s="606"/>
      <c r="UO41" s="606"/>
      <c r="UP41" s="606"/>
      <c r="UQ41" s="606"/>
      <c r="UR41" s="606"/>
      <c r="US41" s="606"/>
      <c r="UT41" s="606"/>
      <c r="UU41" s="606"/>
      <c r="UV41" s="606"/>
      <c r="UW41" s="606"/>
      <c r="UX41" s="606"/>
      <c r="UY41" s="606"/>
      <c r="UZ41" s="606"/>
      <c r="VA41" s="606"/>
      <c r="VB41" s="606"/>
      <c r="VC41" s="606"/>
      <c r="VD41" s="606"/>
      <c r="VE41" s="606"/>
      <c r="VF41" s="606"/>
      <c r="VG41" s="606"/>
      <c r="VH41" s="606"/>
      <c r="VI41" s="606"/>
      <c r="VJ41" s="606"/>
      <c r="VK41" s="606"/>
      <c r="VL41" s="606"/>
      <c r="VM41" s="606"/>
      <c r="VN41" s="606"/>
      <c r="VO41" s="606"/>
      <c r="VP41" s="606"/>
      <c r="VQ41" s="606"/>
      <c r="VR41" s="606"/>
      <c r="VS41" s="606"/>
      <c r="VT41" s="606"/>
      <c r="VU41" s="606"/>
      <c r="VV41" s="606"/>
      <c r="VW41" s="606"/>
      <c r="VX41" s="606"/>
      <c r="VY41" s="606"/>
      <c r="VZ41" s="606"/>
      <c r="WA41" s="606"/>
      <c r="WB41" s="606"/>
      <c r="WC41" s="606"/>
      <c r="WD41" s="606"/>
      <c r="WE41" s="606"/>
      <c r="WF41" s="606"/>
    </row>
    <row r="42" spans="1:604" s="607" customFormat="1" ht="42" x14ac:dyDescent="0.2">
      <c r="A42" s="440"/>
      <c r="B42" s="440"/>
      <c r="C42" s="450" t="s">
        <v>703</v>
      </c>
      <c r="D42" s="440" t="s">
        <v>192</v>
      </c>
      <c r="E42" s="440">
        <v>101616</v>
      </c>
      <c r="F42" s="608" t="s">
        <v>240</v>
      </c>
      <c r="G42" s="437">
        <f>'MC-DRE'!L38</f>
        <v>335.5</v>
      </c>
      <c r="H42" s="440" t="s">
        <v>2</v>
      </c>
      <c r="I42" s="479">
        <f t="shared" si="3"/>
        <v>5.51</v>
      </c>
      <c r="J42" s="439">
        <f t="shared" si="1"/>
        <v>7.02</v>
      </c>
      <c r="K42" s="605">
        <f t="shared" si="2"/>
        <v>2355.21</v>
      </c>
      <c r="L42" s="589"/>
      <c r="M42" s="589"/>
      <c r="N42" s="606"/>
      <c r="O42" s="606"/>
      <c r="P42" s="606"/>
      <c r="Q42" s="606"/>
      <c r="R42" s="606"/>
      <c r="S42" s="606"/>
      <c r="T42" s="606"/>
      <c r="U42" s="606"/>
      <c r="V42" s="606"/>
      <c r="W42" s="606"/>
      <c r="X42" s="606"/>
      <c r="Y42" s="606"/>
      <c r="Z42" s="606"/>
      <c r="AA42" s="606"/>
      <c r="AB42" s="606"/>
      <c r="AC42" s="606"/>
      <c r="AD42" s="606"/>
      <c r="AE42" s="606"/>
      <c r="AF42" s="606"/>
      <c r="AG42" s="606"/>
      <c r="AH42" s="606"/>
      <c r="AI42" s="606"/>
      <c r="AJ42" s="606"/>
      <c r="AK42" s="606"/>
      <c r="AL42" s="606"/>
      <c r="AM42" s="606"/>
      <c r="AN42" s="606"/>
      <c r="AO42" s="606"/>
      <c r="AP42" s="606"/>
      <c r="AQ42" s="606"/>
      <c r="AR42" s="606"/>
      <c r="AS42" s="606"/>
      <c r="AT42" s="606"/>
      <c r="AU42" s="606"/>
      <c r="AV42" s="606"/>
      <c r="AW42" s="606"/>
      <c r="AX42" s="606"/>
      <c r="AY42" s="606"/>
      <c r="AZ42" s="606"/>
      <c r="BA42" s="606"/>
      <c r="BB42" s="606"/>
      <c r="BC42" s="606"/>
      <c r="BD42" s="606"/>
      <c r="BE42" s="606"/>
      <c r="BF42" s="606"/>
      <c r="BG42" s="606"/>
      <c r="BH42" s="606"/>
      <c r="BI42" s="606"/>
      <c r="BJ42" s="606"/>
      <c r="BK42" s="606"/>
      <c r="BL42" s="606"/>
      <c r="BM42" s="606"/>
      <c r="BN42" s="606"/>
      <c r="BO42" s="606"/>
      <c r="BP42" s="606"/>
      <c r="BQ42" s="606"/>
      <c r="BR42" s="606"/>
      <c r="BS42" s="606"/>
      <c r="BT42" s="606"/>
      <c r="BU42" s="606"/>
      <c r="BV42" s="606"/>
      <c r="BW42" s="606"/>
      <c r="BX42" s="606"/>
      <c r="BY42" s="606"/>
      <c r="BZ42" s="606"/>
      <c r="CA42" s="606"/>
      <c r="CB42" s="606"/>
      <c r="CC42" s="606"/>
      <c r="CD42" s="606"/>
      <c r="CE42" s="606"/>
      <c r="CF42" s="606"/>
      <c r="CG42" s="606"/>
      <c r="CH42" s="606"/>
      <c r="CI42" s="606"/>
      <c r="CJ42" s="606"/>
      <c r="CK42" s="606"/>
      <c r="CL42" s="606"/>
      <c r="CM42" s="606"/>
      <c r="CN42" s="606"/>
      <c r="CO42" s="606"/>
      <c r="CP42" s="606"/>
      <c r="CQ42" s="606"/>
      <c r="CR42" s="606"/>
      <c r="CS42" s="606"/>
      <c r="CT42" s="606"/>
      <c r="CU42" s="606"/>
      <c r="CV42" s="606"/>
      <c r="CW42" s="606"/>
      <c r="CX42" s="606"/>
      <c r="CY42" s="606"/>
      <c r="CZ42" s="606"/>
      <c r="DA42" s="606"/>
      <c r="DB42" s="606"/>
      <c r="DC42" s="606"/>
      <c r="DD42" s="606"/>
      <c r="DE42" s="606"/>
      <c r="DF42" s="606"/>
      <c r="DG42" s="606"/>
      <c r="DH42" s="606"/>
      <c r="DI42" s="606"/>
      <c r="DJ42" s="606"/>
      <c r="DK42" s="606"/>
      <c r="DL42" s="606"/>
      <c r="DM42" s="606"/>
      <c r="DN42" s="606"/>
      <c r="DO42" s="606"/>
      <c r="DP42" s="606"/>
      <c r="DQ42" s="606"/>
      <c r="DR42" s="606"/>
      <c r="DS42" s="606"/>
      <c r="DT42" s="606"/>
      <c r="DU42" s="606"/>
      <c r="DV42" s="606"/>
      <c r="DW42" s="606"/>
      <c r="DX42" s="606"/>
      <c r="DY42" s="606"/>
      <c r="DZ42" s="606"/>
      <c r="EA42" s="606"/>
      <c r="EB42" s="606"/>
      <c r="EC42" s="606"/>
      <c r="ED42" s="606"/>
      <c r="EE42" s="606"/>
      <c r="EF42" s="606"/>
      <c r="EG42" s="606"/>
      <c r="EH42" s="606"/>
      <c r="EI42" s="606"/>
      <c r="EJ42" s="606"/>
      <c r="EK42" s="606"/>
      <c r="EL42" s="606"/>
      <c r="EM42" s="606"/>
      <c r="EN42" s="606"/>
      <c r="EO42" s="606"/>
      <c r="EP42" s="606"/>
      <c r="EQ42" s="606"/>
      <c r="ER42" s="606"/>
      <c r="ES42" s="606"/>
      <c r="ET42" s="606"/>
      <c r="EU42" s="606"/>
      <c r="EV42" s="606"/>
      <c r="EW42" s="606"/>
      <c r="EX42" s="606"/>
      <c r="EY42" s="606"/>
      <c r="EZ42" s="606"/>
      <c r="FA42" s="606"/>
      <c r="FB42" s="606"/>
      <c r="FC42" s="606"/>
      <c r="FD42" s="606"/>
      <c r="FE42" s="606"/>
      <c r="FF42" s="606"/>
      <c r="FG42" s="606"/>
      <c r="FH42" s="606"/>
      <c r="FI42" s="606"/>
      <c r="FJ42" s="606"/>
      <c r="FK42" s="606"/>
      <c r="FL42" s="606"/>
      <c r="FM42" s="606"/>
      <c r="FN42" s="606"/>
      <c r="FO42" s="606"/>
      <c r="FP42" s="606"/>
      <c r="FQ42" s="606"/>
      <c r="FR42" s="606"/>
      <c r="FS42" s="606"/>
      <c r="FT42" s="606"/>
      <c r="FU42" s="606"/>
      <c r="FV42" s="606"/>
      <c r="FW42" s="606"/>
      <c r="FX42" s="606"/>
      <c r="FY42" s="606"/>
      <c r="FZ42" s="606"/>
      <c r="GA42" s="606"/>
      <c r="GB42" s="606"/>
      <c r="GC42" s="606"/>
      <c r="GD42" s="606"/>
      <c r="GE42" s="606"/>
      <c r="GF42" s="606"/>
      <c r="GG42" s="606"/>
      <c r="GH42" s="606"/>
      <c r="GI42" s="606"/>
      <c r="GJ42" s="606"/>
      <c r="GK42" s="606"/>
      <c r="GL42" s="606"/>
      <c r="GM42" s="606"/>
      <c r="GN42" s="606"/>
      <c r="GO42" s="606"/>
      <c r="GP42" s="606"/>
      <c r="GQ42" s="606"/>
      <c r="GR42" s="606"/>
      <c r="GS42" s="606"/>
      <c r="GT42" s="606"/>
      <c r="GU42" s="606"/>
      <c r="GV42" s="606"/>
      <c r="GW42" s="606"/>
      <c r="GX42" s="606"/>
      <c r="GY42" s="606"/>
      <c r="GZ42" s="606"/>
      <c r="HA42" s="606"/>
      <c r="HB42" s="606"/>
      <c r="HC42" s="606"/>
      <c r="HD42" s="606"/>
      <c r="HE42" s="606"/>
      <c r="HF42" s="606"/>
      <c r="HG42" s="606"/>
      <c r="HH42" s="606"/>
      <c r="HI42" s="606"/>
      <c r="HJ42" s="606"/>
      <c r="HK42" s="606"/>
      <c r="HL42" s="606"/>
      <c r="HM42" s="606"/>
      <c r="HN42" s="606"/>
      <c r="HO42" s="606"/>
      <c r="HP42" s="606"/>
      <c r="HQ42" s="606"/>
      <c r="HR42" s="606"/>
      <c r="HS42" s="606"/>
      <c r="HT42" s="606"/>
      <c r="HU42" s="606"/>
      <c r="HV42" s="606"/>
      <c r="HW42" s="606"/>
      <c r="HX42" s="606"/>
      <c r="HY42" s="606"/>
      <c r="HZ42" s="606"/>
      <c r="IA42" s="606"/>
      <c r="IB42" s="606"/>
      <c r="IC42" s="606"/>
      <c r="ID42" s="606"/>
      <c r="IE42" s="606"/>
      <c r="IF42" s="606"/>
      <c r="IG42" s="606"/>
      <c r="IH42" s="606"/>
      <c r="II42" s="606"/>
      <c r="IJ42" s="606"/>
      <c r="IK42" s="606"/>
      <c r="IL42" s="606"/>
      <c r="IM42" s="606"/>
      <c r="IN42" s="606"/>
      <c r="IO42" s="606"/>
      <c r="IP42" s="606"/>
      <c r="IQ42" s="606"/>
      <c r="IR42" s="606"/>
      <c r="IS42" s="606"/>
      <c r="IT42" s="606"/>
      <c r="IU42" s="606"/>
      <c r="IV42" s="606"/>
      <c r="IW42" s="606"/>
      <c r="IX42" s="606"/>
      <c r="IY42" s="606"/>
      <c r="IZ42" s="606"/>
      <c r="JA42" s="606"/>
      <c r="JB42" s="606"/>
      <c r="JC42" s="606"/>
      <c r="JD42" s="606"/>
      <c r="JE42" s="606"/>
      <c r="JF42" s="606"/>
      <c r="JG42" s="606"/>
      <c r="JH42" s="606"/>
      <c r="JI42" s="606"/>
      <c r="JJ42" s="606"/>
      <c r="JK42" s="606"/>
      <c r="JL42" s="606"/>
      <c r="JM42" s="606"/>
      <c r="JN42" s="606"/>
      <c r="JO42" s="606"/>
      <c r="JP42" s="606"/>
      <c r="JQ42" s="606"/>
      <c r="JR42" s="606"/>
      <c r="JS42" s="606"/>
      <c r="JT42" s="606"/>
      <c r="JU42" s="606"/>
      <c r="JV42" s="606"/>
      <c r="JW42" s="606"/>
      <c r="JX42" s="606"/>
      <c r="JY42" s="606"/>
      <c r="JZ42" s="606"/>
      <c r="KA42" s="606"/>
      <c r="KB42" s="606"/>
      <c r="KC42" s="606"/>
      <c r="KD42" s="606"/>
      <c r="KE42" s="606"/>
      <c r="KF42" s="606"/>
      <c r="KG42" s="606"/>
      <c r="KH42" s="606"/>
      <c r="KI42" s="606"/>
      <c r="KJ42" s="606"/>
      <c r="KK42" s="606"/>
      <c r="KL42" s="606"/>
      <c r="KM42" s="606"/>
      <c r="KN42" s="606"/>
      <c r="KO42" s="606"/>
      <c r="KP42" s="606"/>
      <c r="KQ42" s="606"/>
      <c r="KR42" s="606"/>
      <c r="KS42" s="606"/>
      <c r="KT42" s="606"/>
      <c r="KU42" s="606"/>
      <c r="KV42" s="606"/>
      <c r="KW42" s="606"/>
      <c r="KX42" s="606"/>
      <c r="KY42" s="606"/>
      <c r="KZ42" s="606"/>
      <c r="LA42" s="606"/>
      <c r="LB42" s="606"/>
      <c r="LC42" s="606"/>
      <c r="LD42" s="606"/>
      <c r="LE42" s="606"/>
      <c r="LF42" s="606"/>
      <c r="LG42" s="606"/>
      <c r="LH42" s="606"/>
      <c r="LI42" s="606"/>
      <c r="LJ42" s="606"/>
      <c r="LK42" s="606"/>
      <c r="LL42" s="606"/>
      <c r="LM42" s="606"/>
      <c r="LN42" s="606"/>
      <c r="LO42" s="606"/>
      <c r="LP42" s="606"/>
      <c r="LQ42" s="606"/>
      <c r="LR42" s="606"/>
      <c r="LS42" s="606"/>
      <c r="LT42" s="606"/>
      <c r="LU42" s="606"/>
      <c r="LV42" s="606"/>
      <c r="LW42" s="606"/>
      <c r="LX42" s="606"/>
      <c r="LY42" s="606"/>
      <c r="LZ42" s="606"/>
      <c r="MA42" s="606"/>
      <c r="MB42" s="606"/>
      <c r="MC42" s="606"/>
      <c r="MD42" s="606"/>
      <c r="ME42" s="606"/>
      <c r="MF42" s="606"/>
      <c r="MG42" s="606"/>
      <c r="MH42" s="606"/>
      <c r="MI42" s="606"/>
      <c r="MJ42" s="606"/>
      <c r="MK42" s="606"/>
      <c r="ML42" s="606"/>
      <c r="MM42" s="606"/>
      <c r="MN42" s="606"/>
      <c r="MO42" s="606"/>
      <c r="MP42" s="606"/>
      <c r="MQ42" s="606"/>
      <c r="MR42" s="606"/>
      <c r="MS42" s="606"/>
      <c r="MT42" s="606"/>
      <c r="MU42" s="606"/>
      <c r="MV42" s="606"/>
      <c r="MW42" s="606"/>
      <c r="MX42" s="606"/>
      <c r="MY42" s="606"/>
      <c r="MZ42" s="606"/>
      <c r="NA42" s="606"/>
      <c r="NB42" s="606"/>
      <c r="NC42" s="606"/>
      <c r="ND42" s="606"/>
      <c r="NE42" s="606"/>
      <c r="NF42" s="606"/>
      <c r="NG42" s="606"/>
      <c r="NH42" s="606"/>
      <c r="NI42" s="606"/>
      <c r="NJ42" s="606"/>
      <c r="NK42" s="606"/>
      <c r="NL42" s="606"/>
      <c r="NM42" s="606"/>
      <c r="NN42" s="606"/>
      <c r="NO42" s="606"/>
      <c r="NP42" s="606"/>
      <c r="NQ42" s="606"/>
      <c r="NR42" s="606"/>
      <c r="NS42" s="606"/>
      <c r="NT42" s="606"/>
      <c r="NU42" s="606"/>
      <c r="NV42" s="606"/>
      <c r="NW42" s="606"/>
      <c r="NX42" s="606"/>
      <c r="NY42" s="606"/>
      <c r="NZ42" s="606"/>
      <c r="OA42" s="606"/>
      <c r="OB42" s="606"/>
      <c r="OC42" s="606"/>
      <c r="OD42" s="606"/>
      <c r="OE42" s="606"/>
      <c r="OF42" s="606"/>
      <c r="OG42" s="606"/>
      <c r="OH42" s="606"/>
      <c r="OI42" s="606"/>
      <c r="OJ42" s="606"/>
      <c r="OK42" s="606"/>
      <c r="OL42" s="606"/>
      <c r="OM42" s="606"/>
      <c r="ON42" s="606"/>
      <c r="OO42" s="606"/>
      <c r="OP42" s="606"/>
      <c r="OQ42" s="606"/>
      <c r="OR42" s="606"/>
      <c r="OS42" s="606"/>
      <c r="OT42" s="606"/>
      <c r="OU42" s="606"/>
      <c r="OV42" s="606"/>
      <c r="OW42" s="606"/>
      <c r="OX42" s="606"/>
      <c r="OY42" s="606"/>
      <c r="OZ42" s="606"/>
      <c r="PA42" s="606"/>
      <c r="PB42" s="606"/>
      <c r="PC42" s="606"/>
      <c r="PD42" s="606"/>
      <c r="PE42" s="606"/>
      <c r="PF42" s="606"/>
      <c r="PG42" s="606"/>
      <c r="PH42" s="606"/>
      <c r="PI42" s="606"/>
      <c r="PJ42" s="606"/>
      <c r="PK42" s="606"/>
      <c r="PL42" s="606"/>
      <c r="PM42" s="606"/>
      <c r="PN42" s="606"/>
      <c r="PO42" s="606"/>
      <c r="PP42" s="606"/>
      <c r="PQ42" s="606"/>
      <c r="PR42" s="606"/>
      <c r="PS42" s="606"/>
      <c r="PT42" s="606"/>
      <c r="PU42" s="606"/>
      <c r="PV42" s="606"/>
      <c r="PW42" s="606"/>
      <c r="PX42" s="606"/>
      <c r="PY42" s="606"/>
      <c r="PZ42" s="606"/>
      <c r="QA42" s="606"/>
      <c r="QB42" s="606"/>
      <c r="QC42" s="606"/>
      <c r="QD42" s="606"/>
      <c r="QE42" s="606"/>
      <c r="QF42" s="606"/>
      <c r="QG42" s="606"/>
      <c r="QH42" s="606"/>
      <c r="QI42" s="606"/>
      <c r="QJ42" s="606"/>
      <c r="QK42" s="606"/>
      <c r="QL42" s="606"/>
      <c r="QM42" s="606"/>
      <c r="QN42" s="606"/>
      <c r="QO42" s="606"/>
      <c r="QP42" s="606"/>
      <c r="QQ42" s="606"/>
      <c r="QR42" s="606"/>
      <c r="QS42" s="606"/>
      <c r="QT42" s="606"/>
      <c r="QU42" s="606"/>
      <c r="QV42" s="606"/>
      <c r="QW42" s="606"/>
      <c r="QX42" s="606"/>
      <c r="QY42" s="606"/>
      <c r="QZ42" s="606"/>
      <c r="RA42" s="606"/>
      <c r="RB42" s="606"/>
      <c r="RC42" s="606"/>
      <c r="RD42" s="606"/>
      <c r="RE42" s="606"/>
      <c r="RF42" s="606"/>
      <c r="RG42" s="606"/>
      <c r="RH42" s="606"/>
      <c r="RI42" s="606"/>
      <c r="RJ42" s="606"/>
      <c r="RK42" s="606"/>
      <c r="RL42" s="606"/>
      <c r="RM42" s="606"/>
      <c r="RN42" s="606"/>
      <c r="RO42" s="606"/>
      <c r="RP42" s="606"/>
      <c r="RQ42" s="606"/>
      <c r="RR42" s="606"/>
      <c r="RS42" s="606"/>
      <c r="RT42" s="606"/>
      <c r="RU42" s="606"/>
      <c r="RV42" s="606"/>
      <c r="RW42" s="606"/>
      <c r="RX42" s="606"/>
      <c r="RY42" s="606"/>
      <c r="RZ42" s="606"/>
      <c r="SA42" s="606"/>
      <c r="SB42" s="606"/>
      <c r="SC42" s="606"/>
      <c r="SD42" s="606"/>
      <c r="SE42" s="606"/>
      <c r="SF42" s="606"/>
      <c r="SG42" s="606"/>
      <c r="SH42" s="606"/>
      <c r="SI42" s="606"/>
      <c r="SJ42" s="606"/>
      <c r="SK42" s="606"/>
      <c r="SL42" s="606"/>
      <c r="SM42" s="606"/>
      <c r="SN42" s="606"/>
      <c r="SO42" s="606"/>
      <c r="SP42" s="606"/>
      <c r="SQ42" s="606"/>
      <c r="SR42" s="606"/>
      <c r="SS42" s="606"/>
      <c r="ST42" s="606"/>
      <c r="SU42" s="606"/>
      <c r="SV42" s="606"/>
      <c r="SW42" s="606"/>
      <c r="SX42" s="606"/>
      <c r="SY42" s="606"/>
      <c r="SZ42" s="606"/>
      <c r="TA42" s="606"/>
      <c r="TB42" s="606"/>
      <c r="TC42" s="606"/>
      <c r="TD42" s="606"/>
      <c r="TE42" s="606"/>
      <c r="TF42" s="606"/>
      <c r="TG42" s="606"/>
      <c r="TH42" s="606"/>
      <c r="TI42" s="606"/>
      <c r="TJ42" s="606"/>
      <c r="TK42" s="606"/>
      <c r="TL42" s="606"/>
      <c r="TM42" s="606"/>
      <c r="TN42" s="606"/>
      <c r="TO42" s="606"/>
      <c r="TP42" s="606"/>
      <c r="TQ42" s="606"/>
      <c r="TR42" s="606"/>
      <c r="TS42" s="606"/>
      <c r="TT42" s="606"/>
      <c r="TU42" s="606"/>
      <c r="TV42" s="606"/>
      <c r="TW42" s="606"/>
      <c r="TX42" s="606"/>
      <c r="TY42" s="606"/>
      <c r="TZ42" s="606"/>
      <c r="UA42" s="606"/>
      <c r="UB42" s="606"/>
      <c r="UC42" s="606"/>
      <c r="UD42" s="606"/>
      <c r="UE42" s="606"/>
      <c r="UF42" s="606"/>
      <c r="UG42" s="606"/>
      <c r="UH42" s="606"/>
      <c r="UI42" s="606"/>
      <c r="UJ42" s="606"/>
      <c r="UK42" s="606"/>
      <c r="UL42" s="606"/>
      <c r="UM42" s="606"/>
      <c r="UN42" s="606"/>
      <c r="UO42" s="606"/>
      <c r="UP42" s="606"/>
      <c r="UQ42" s="606"/>
      <c r="UR42" s="606"/>
      <c r="US42" s="606"/>
      <c r="UT42" s="606"/>
      <c r="UU42" s="606"/>
      <c r="UV42" s="606"/>
      <c r="UW42" s="606"/>
      <c r="UX42" s="606"/>
      <c r="UY42" s="606"/>
      <c r="UZ42" s="606"/>
      <c r="VA42" s="606"/>
      <c r="VB42" s="606"/>
      <c r="VC42" s="606"/>
      <c r="VD42" s="606"/>
      <c r="VE42" s="606"/>
      <c r="VF42" s="606"/>
      <c r="VG42" s="606"/>
      <c r="VH42" s="606"/>
      <c r="VI42" s="606"/>
      <c r="VJ42" s="606"/>
      <c r="VK42" s="606"/>
      <c r="VL42" s="606"/>
      <c r="VM42" s="606"/>
      <c r="VN42" s="606"/>
      <c r="VO42" s="606"/>
      <c r="VP42" s="606"/>
      <c r="VQ42" s="606"/>
      <c r="VR42" s="606"/>
      <c r="VS42" s="606"/>
      <c r="VT42" s="606"/>
      <c r="VU42" s="606"/>
      <c r="VV42" s="606"/>
      <c r="VW42" s="606"/>
      <c r="VX42" s="606"/>
      <c r="VY42" s="606"/>
      <c r="VZ42" s="606"/>
      <c r="WA42" s="606"/>
      <c r="WB42" s="606"/>
      <c r="WC42" s="606"/>
      <c r="WD42" s="606"/>
      <c r="WE42" s="606"/>
      <c r="WF42" s="606"/>
    </row>
    <row r="43" spans="1:604" s="607" customFormat="1" ht="33.75" customHeight="1" x14ac:dyDescent="0.2">
      <c r="A43" s="440"/>
      <c r="B43" s="440"/>
      <c r="C43" s="450" t="s">
        <v>704</v>
      </c>
      <c r="D43" s="440" t="s">
        <v>190</v>
      </c>
      <c r="E43" s="440">
        <v>260278</v>
      </c>
      <c r="F43" s="608" t="s">
        <v>365</v>
      </c>
      <c r="G43" s="437">
        <f>'MC-DRE'!M38</f>
        <v>335.5</v>
      </c>
      <c r="H43" s="440" t="s">
        <v>2</v>
      </c>
      <c r="I43" s="479">
        <f t="shared" si="3"/>
        <v>38.380000000000003</v>
      </c>
      <c r="J43" s="439">
        <f t="shared" si="1"/>
        <v>48.92</v>
      </c>
      <c r="K43" s="605">
        <f t="shared" si="2"/>
        <v>16412.66</v>
      </c>
      <c r="L43" s="589"/>
      <c r="M43" s="589"/>
      <c r="N43" s="606"/>
      <c r="O43" s="606"/>
      <c r="P43" s="606"/>
      <c r="Q43" s="606"/>
      <c r="R43" s="606"/>
      <c r="S43" s="606"/>
      <c r="T43" s="606"/>
      <c r="U43" s="606"/>
      <c r="V43" s="606"/>
      <c r="W43" s="606"/>
      <c r="X43" s="606"/>
      <c r="Y43" s="606"/>
      <c r="Z43" s="606"/>
      <c r="AA43" s="606"/>
      <c r="AB43" s="606"/>
      <c r="AC43" s="606"/>
      <c r="AD43" s="606"/>
      <c r="AE43" s="606"/>
      <c r="AF43" s="606"/>
      <c r="AG43" s="606"/>
      <c r="AH43" s="606"/>
      <c r="AI43" s="606"/>
      <c r="AJ43" s="606"/>
      <c r="AK43" s="606"/>
      <c r="AL43" s="606"/>
      <c r="AM43" s="606"/>
      <c r="AN43" s="606"/>
      <c r="AO43" s="606"/>
      <c r="AP43" s="606"/>
      <c r="AQ43" s="606"/>
      <c r="AR43" s="606"/>
      <c r="AS43" s="606"/>
      <c r="AT43" s="606"/>
      <c r="AU43" s="606"/>
      <c r="AV43" s="606"/>
      <c r="AW43" s="606"/>
      <c r="AX43" s="606"/>
      <c r="AY43" s="606"/>
      <c r="AZ43" s="606"/>
      <c r="BA43" s="606"/>
      <c r="BB43" s="606"/>
      <c r="BC43" s="606"/>
      <c r="BD43" s="606"/>
      <c r="BE43" s="606"/>
      <c r="BF43" s="606"/>
      <c r="BG43" s="606"/>
      <c r="BH43" s="606"/>
      <c r="BI43" s="606"/>
      <c r="BJ43" s="606"/>
      <c r="BK43" s="606"/>
      <c r="BL43" s="606"/>
      <c r="BM43" s="606"/>
      <c r="BN43" s="606"/>
      <c r="BO43" s="606"/>
      <c r="BP43" s="606"/>
      <c r="BQ43" s="606"/>
      <c r="BR43" s="606"/>
      <c r="BS43" s="606"/>
      <c r="BT43" s="606"/>
      <c r="BU43" s="606"/>
      <c r="BV43" s="606"/>
      <c r="BW43" s="606"/>
      <c r="BX43" s="606"/>
      <c r="BY43" s="606"/>
      <c r="BZ43" s="606"/>
      <c r="CA43" s="606"/>
      <c r="CB43" s="606"/>
      <c r="CC43" s="606"/>
      <c r="CD43" s="606"/>
      <c r="CE43" s="606"/>
      <c r="CF43" s="606"/>
      <c r="CG43" s="606"/>
      <c r="CH43" s="606"/>
      <c r="CI43" s="606"/>
      <c r="CJ43" s="606"/>
      <c r="CK43" s="606"/>
      <c r="CL43" s="606"/>
      <c r="CM43" s="606"/>
      <c r="CN43" s="606"/>
      <c r="CO43" s="606"/>
      <c r="CP43" s="606"/>
      <c r="CQ43" s="606"/>
      <c r="CR43" s="606"/>
      <c r="CS43" s="606"/>
      <c r="CT43" s="606"/>
      <c r="CU43" s="606"/>
      <c r="CV43" s="606"/>
      <c r="CW43" s="606"/>
      <c r="CX43" s="606"/>
      <c r="CY43" s="606"/>
      <c r="CZ43" s="606"/>
      <c r="DA43" s="606"/>
      <c r="DB43" s="606"/>
      <c r="DC43" s="606"/>
      <c r="DD43" s="606"/>
      <c r="DE43" s="606"/>
      <c r="DF43" s="606"/>
      <c r="DG43" s="606"/>
      <c r="DH43" s="606"/>
      <c r="DI43" s="606"/>
      <c r="DJ43" s="606"/>
      <c r="DK43" s="606"/>
      <c r="DL43" s="606"/>
      <c r="DM43" s="606"/>
      <c r="DN43" s="606"/>
      <c r="DO43" s="606"/>
      <c r="DP43" s="606"/>
      <c r="DQ43" s="606"/>
      <c r="DR43" s="606"/>
      <c r="DS43" s="606"/>
      <c r="DT43" s="606"/>
      <c r="DU43" s="606"/>
      <c r="DV43" s="606"/>
      <c r="DW43" s="606"/>
      <c r="DX43" s="606"/>
      <c r="DY43" s="606"/>
      <c r="DZ43" s="606"/>
      <c r="EA43" s="606"/>
      <c r="EB43" s="606"/>
      <c r="EC43" s="606"/>
      <c r="ED43" s="606"/>
      <c r="EE43" s="606"/>
      <c r="EF43" s="606"/>
      <c r="EG43" s="606"/>
      <c r="EH43" s="606"/>
      <c r="EI43" s="606"/>
      <c r="EJ43" s="606"/>
      <c r="EK43" s="606"/>
      <c r="EL43" s="606"/>
      <c r="EM43" s="606"/>
      <c r="EN43" s="606"/>
      <c r="EO43" s="606"/>
      <c r="EP43" s="606"/>
      <c r="EQ43" s="606"/>
      <c r="ER43" s="606"/>
      <c r="ES43" s="606"/>
      <c r="ET43" s="606"/>
      <c r="EU43" s="606"/>
      <c r="EV43" s="606"/>
      <c r="EW43" s="606"/>
      <c r="EX43" s="606"/>
      <c r="EY43" s="606"/>
      <c r="EZ43" s="606"/>
      <c r="FA43" s="606"/>
      <c r="FB43" s="606"/>
      <c r="FC43" s="606"/>
      <c r="FD43" s="606"/>
      <c r="FE43" s="606"/>
      <c r="FF43" s="606"/>
      <c r="FG43" s="606"/>
      <c r="FH43" s="606"/>
      <c r="FI43" s="606"/>
      <c r="FJ43" s="606"/>
      <c r="FK43" s="606"/>
      <c r="FL43" s="606"/>
      <c r="FM43" s="606"/>
      <c r="FN43" s="606"/>
      <c r="FO43" s="606"/>
      <c r="FP43" s="606"/>
      <c r="FQ43" s="606"/>
      <c r="FR43" s="606"/>
      <c r="FS43" s="606"/>
      <c r="FT43" s="606"/>
      <c r="FU43" s="606"/>
      <c r="FV43" s="606"/>
      <c r="FW43" s="606"/>
      <c r="FX43" s="606"/>
      <c r="FY43" s="606"/>
      <c r="FZ43" s="606"/>
      <c r="GA43" s="606"/>
      <c r="GB43" s="606"/>
      <c r="GC43" s="606"/>
      <c r="GD43" s="606"/>
      <c r="GE43" s="606"/>
      <c r="GF43" s="606"/>
      <c r="GG43" s="606"/>
      <c r="GH43" s="606"/>
      <c r="GI43" s="606"/>
      <c r="GJ43" s="606"/>
      <c r="GK43" s="606"/>
      <c r="GL43" s="606"/>
      <c r="GM43" s="606"/>
      <c r="GN43" s="606"/>
      <c r="GO43" s="606"/>
      <c r="GP43" s="606"/>
      <c r="GQ43" s="606"/>
      <c r="GR43" s="606"/>
      <c r="GS43" s="606"/>
      <c r="GT43" s="606"/>
      <c r="GU43" s="606"/>
      <c r="GV43" s="606"/>
      <c r="GW43" s="606"/>
      <c r="GX43" s="606"/>
      <c r="GY43" s="606"/>
      <c r="GZ43" s="606"/>
      <c r="HA43" s="606"/>
      <c r="HB43" s="606"/>
      <c r="HC43" s="606"/>
      <c r="HD43" s="606"/>
      <c r="HE43" s="606"/>
      <c r="HF43" s="606"/>
      <c r="HG43" s="606"/>
      <c r="HH43" s="606"/>
      <c r="HI43" s="606"/>
      <c r="HJ43" s="606"/>
      <c r="HK43" s="606"/>
      <c r="HL43" s="606"/>
      <c r="HM43" s="606"/>
      <c r="HN43" s="606"/>
      <c r="HO43" s="606"/>
      <c r="HP43" s="606"/>
      <c r="HQ43" s="606"/>
      <c r="HR43" s="606"/>
      <c r="HS43" s="606"/>
      <c r="HT43" s="606"/>
      <c r="HU43" s="606"/>
      <c r="HV43" s="606"/>
      <c r="HW43" s="606"/>
      <c r="HX43" s="606"/>
      <c r="HY43" s="606"/>
      <c r="HZ43" s="606"/>
      <c r="IA43" s="606"/>
      <c r="IB43" s="606"/>
      <c r="IC43" s="606"/>
      <c r="ID43" s="606"/>
      <c r="IE43" s="606"/>
      <c r="IF43" s="606"/>
      <c r="IG43" s="606"/>
      <c r="IH43" s="606"/>
      <c r="II43" s="606"/>
      <c r="IJ43" s="606"/>
      <c r="IK43" s="606"/>
      <c r="IL43" s="606"/>
      <c r="IM43" s="606"/>
      <c r="IN43" s="606"/>
      <c r="IO43" s="606"/>
      <c r="IP43" s="606"/>
      <c r="IQ43" s="606"/>
      <c r="IR43" s="606"/>
      <c r="IS43" s="606"/>
      <c r="IT43" s="606"/>
      <c r="IU43" s="606"/>
      <c r="IV43" s="606"/>
      <c r="IW43" s="606"/>
      <c r="IX43" s="606"/>
      <c r="IY43" s="606"/>
      <c r="IZ43" s="606"/>
      <c r="JA43" s="606"/>
      <c r="JB43" s="606"/>
      <c r="JC43" s="606"/>
      <c r="JD43" s="606"/>
      <c r="JE43" s="606"/>
      <c r="JF43" s="606"/>
      <c r="JG43" s="606"/>
      <c r="JH43" s="606"/>
      <c r="JI43" s="606"/>
      <c r="JJ43" s="606"/>
      <c r="JK43" s="606"/>
      <c r="JL43" s="606"/>
      <c r="JM43" s="606"/>
      <c r="JN43" s="606"/>
      <c r="JO43" s="606"/>
      <c r="JP43" s="606"/>
      <c r="JQ43" s="606"/>
      <c r="JR43" s="606"/>
      <c r="JS43" s="606"/>
      <c r="JT43" s="606"/>
      <c r="JU43" s="606"/>
      <c r="JV43" s="606"/>
      <c r="JW43" s="606"/>
      <c r="JX43" s="606"/>
      <c r="JY43" s="606"/>
      <c r="JZ43" s="606"/>
      <c r="KA43" s="606"/>
      <c r="KB43" s="606"/>
      <c r="KC43" s="606"/>
      <c r="KD43" s="606"/>
      <c r="KE43" s="606"/>
      <c r="KF43" s="606"/>
      <c r="KG43" s="606"/>
      <c r="KH43" s="606"/>
      <c r="KI43" s="606"/>
      <c r="KJ43" s="606"/>
      <c r="KK43" s="606"/>
      <c r="KL43" s="606"/>
      <c r="KM43" s="606"/>
      <c r="KN43" s="606"/>
      <c r="KO43" s="606"/>
      <c r="KP43" s="606"/>
      <c r="KQ43" s="606"/>
      <c r="KR43" s="606"/>
      <c r="KS43" s="606"/>
      <c r="KT43" s="606"/>
      <c r="KU43" s="606"/>
      <c r="KV43" s="606"/>
      <c r="KW43" s="606"/>
      <c r="KX43" s="606"/>
      <c r="KY43" s="606"/>
      <c r="KZ43" s="606"/>
      <c r="LA43" s="606"/>
      <c r="LB43" s="606"/>
      <c r="LC43" s="606"/>
      <c r="LD43" s="606"/>
      <c r="LE43" s="606"/>
      <c r="LF43" s="606"/>
      <c r="LG43" s="606"/>
      <c r="LH43" s="606"/>
      <c r="LI43" s="606"/>
      <c r="LJ43" s="606"/>
      <c r="LK43" s="606"/>
      <c r="LL43" s="606"/>
      <c r="LM43" s="606"/>
      <c r="LN43" s="606"/>
      <c r="LO43" s="606"/>
      <c r="LP43" s="606"/>
      <c r="LQ43" s="606"/>
      <c r="LR43" s="606"/>
      <c r="LS43" s="606"/>
      <c r="LT43" s="606"/>
      <c r="LU43" s="606"/>
      <c r="LV43" s="606"/>
      <c r="LW43" s="606"/>
      <c r="LX43" s="606"/>
      <c r="LY43" s="606"/>
      <c r="LZ43" s="606"/>
      <c r="MA43" s="606"/>
      <c r="MB43" s="606"/>
      <c r="MC43" s="606"/>
      <c r="MD43" s="606"/>
      <c r="ME43" s="606"/>
      <c r="MF43" s="606"/>
      <c r="MG43" s="606"/>
      <c r="MH43" s="606"/>
      <c r="MI43" s="606"/>
      <c r="MJ43" s="606"/>
      <c r="MK43" s="606"/>
      <c r="ML43" s="606"/>
      <c r="MM43" s="606"/>
      <c r="MN43" s="606"/>
      <c r="MO43" s="606"/>
      <c r="MP43" s="606"/>
      <c r="MQ43" s="606"/>
      <c r="MR43" s="606"/>
      <c r="MS43" s="606"/>
      <c r="MT43" s="606"/>
      <c r="MU43" s="606"/>
      <c r="MV43" s="606"/>
      <c r="MW43" s="606"/>
      <c r="MX43" s="606"/>
      <c r="MY43" s="606"/>
      <c r="MZ43" s="606"/>
      <c r="NA43" s="606"/>
      <c r="NB43" s="606"/>
      <c r="NC43" s="606"/>
      <c r="ND43" s="606"/>
      <c r="NE43" s="606"/>
      <c r="NF43" s="606"/>
      <c r="NG43" s="606"/>
      <c r="NH43" s="606"/>
      <c r="NI43" s="606"/>
      <c r="NJ43" s="606"/>
      <c r="NK43" s="606"/>
      <c r="NL43" s="606"/>
      <c r="NM43" s="606"/>
      <c r="NN43" s="606"/>
      <c r="NO43" s="606"/>
      <c r="NP43" s="606"/>
      <c r="NQ43" s="606"/>
      <c r="NR43" s="606"/>
      <c r="NS43" s="606"/>
      <c r="NT43" s="606"/>
      <c r="NU43" s="606"/>
      <c r="NV43" s="606"/>
      <c r="NW43" s="606"/>
      <c r="NX43" s="606"/>
      <c r="NY43" s="606"/>
      <c r="NZ43" s="606"/>
      <c r="OA43" s="606"/>
      <c r="OB43" s="606"/>
      <c r="OC43" s="606"/>
      <c r="OD43" s="606"/>
      <c r="OE43" s="606"/>
      <c r="OF43" s="606"/>
      <c r="OG43" s="606"/>
      <c r="OH43" s="606"/>
      <c r="OI43" s="606"/>
      <c r="OJ43" s="606"/>
      <c r="OK43" s="606"/>
      <c r="OL43" s="606"/>
      <c r="OM43" s="606"/>
      <c r="ON43" s="606"/>
      <c r="OO43" s="606"/>
      <c r="OP43" s="606"/>
      <c r="OQ43" s="606"/>
      <c r="OR43" s="606"/>
      <c r="OS43" s="606"/>
      <c r="OT43" s="606"/>
      <c r="OU43" s="606"/>
      <c r="OV43" s="606"/>
      <c r="OW43" s="606"/>
      <c r="OX43" s="606"/>
      <c r="OY43" s="606"/>
      <c r="OZ43" s="606"/>
      <c r="PA43" s="606"/>
      <c r="PB43" s="606"/>
      <c r="PC43" s="606"/>
      <c r="PD43" s="606"/>
      <c r="PE43" s="606"/>
      <c r="PF43" s="606"/>
      <c r="PG43" s="606"/>
      <c r="PH43" s="606"/>
      <c r="PI43" s="606"/>
      <c r="PJ43" s="606"/>
      <c r="PK43" s="606"/>
      <c r="PL43" s="606"/>
      <c r="PM43" s="606"/>
      <c r="PN43" s="606"/>
      <c r="PO43" s="606"/>
      <c r="PP43" s="606"/>
      <c r="PQ43" s="606"/>
      <c r="PR43" s="606"/>
      <c r="PS43" s="606"/>
      <c r="PT43" s="606"/>
      <c r="PU43" s="606"/>
      <c r="PV43" s="606"/>
      <c r="PW43" s="606"/>
      <c r="PX43" s="606"/>
      <c r="PY43" s="606"/>
      <c r="PZ43" s="606"/>
      <c r="QA43" s="606"/>
      <c r="QB43" s="606"/>
      <c r="QC43" s="606"/>
      <c r="QD43" s="606"/>
      <c r="QE43" s="606"/>
      <c r="QF43" s="606"/>
      <c r="QG43" s="606"/>
      <c r="QH43" s="606"/>
      <c r="QI43" s="606"/>
      <c r="QJ43" s="606"/>
      <c r="QK43" s="606"/>
      <c r="QL43" s="606"/>
      <c r="QM43" s="606"/>
      <c r="QN43" s="606"/>
      <c r="QO43" s="606"/>
      <c r="QP43" s="606"/>
      <c r="QQ43" s="606"/>
      <c r="QR43" s="606"/>
      <c r="QS43" s="606"/>
      <c r="QT43" s="606"/>
      <c r="QU43" s="606"/>
      <c r="QV43" s="606"/>
      <c r="QW43" s="606"/>
      <c r="QX43" s="606"/>
      <c r="QY43" s="606"/>
      <c r="QZ43" s="606"/>
      <c r="RA43" s="606"/>
      <c r="RB43" s="606"/>
      <c r="RC43" s="606"/>
      <c r="RD43" s="606"/>
      <c r="RE43" s="606"/>
      <c r="RF43" s="606"/>
      <c r="RG43" s="606"/>
      <c r="RH43" s="606"/>
      <c r="RI43" s="606"/>
      <c r="RJ43" s="606"/>
      <c r="RK43" s="606"/>
      <c r="RL43" s="606"/>
      <c r="RM43" s="606"/>
      <c r="RN43" s="606"/>
      <c r="RO43" s="606"/>
      <c r="RP43" s="606"/>
      <c r="RQ43" s="606"/>
      <c r="RR43" s="606"/>
      <c r="RS43" s="606"/>
      <c r="RT43" s="606"/>
      <c r="RU43" s="606"/>
      <c r="RV43" s="606"/>
      <c r="RW43" s="606"/>
      <c r="RX43" s="606"/>
      <c r="RY43" s="606"/>
      <c r="RZ43" s="606"/>
      <c r="SA43" s="606"/>
      <c r="SB43" s="606"/>
      <c r="SC43" s="606"/>
      <c r="SD43" s="606"/>
      <c r="SE43" s="606"/>
      <c r="SF43" s="606"/>
      <c r="SG43" s="606"/>
      <c r="SH43" s="606"/>
      <c r="SI43" s="606"/>
      <c r="SJ43" s="606"/>
      <c r="SK43" s="606"/>
      <c r="SL43" s="606"/>
      <c r="SM43" s="606"/>
      <c r="SN43" s="606"/>
      <c r="SO43" s="606"/>
      <c r="SP43" s="606"/>
      <c r="SQ43" s="606"/>
      <c r="SR43" s="606"/>
      <c r="SS43" s="606"/>
      <c r="ST43" s="606"/>
      <c r="SU43" s="606"/>
      <c r="SV43" s="606"/>
      <c r="SW43" s="606"/>
      <c r="SX43" s="606"/>
      <c r="SY43" s="606"/>
      <c r="SZ43" s="606"/>
      <c r="TA43" s="606"/>
      <c r="TB43" s="606"/>
      <c r="TC43" s="606"/>
      <c r="TD43" s="606"/>
      <c r="TE43" s="606"/>
      <c r="TF43" s="606"/>
      <c r="TG43" s="606"/>
      <c r="TH43" s="606"/>
      <c r="TI43" s="606"/>
      <c r="TJ43" s="606"/>
      <c r="TK43" s="606"/>
      <c r="TL43" s="606"/>
      <c r="TM43" s="606"/>
      <c r="TN43" s="606"/>
      <c r="TO43" s="606"/>
      <c r="TP43" s="606"/>
      <c r="TQ43" s="606"/>
      <c r="TR43" s="606"/>
      <c r="TS43" s="606"/>
      <c r="TT43" s="606"/>
      <c r="TU43" s="606"/>
      <c r="TV43" s="606"/>
      <c r="TW43" s="606"/>
      <c r="TX43" s="606"/>
      <c r="TY43" s="606"/>
      <c r="TZ43" s="606"/>
      <c r="UA43" s="606"/>
      <c r="UB43" s="606"/>
      <c r="UC43" s="606"/>
      <c r="UD43" s="606"/>
      <c r="UE43" s="606"/>
      <c r="UF43" s="606"/>
      <c r="UG43" s="606"/>
      <c r="UH43" s="606"/>
      <c r="UI43" s="606"/>
      <c r="UJ43" s="606"/>
      <c r="UK43" s="606"/>
      <c r="UL43" s="606"/>
      <c r="UM43" s="606"/>
      <c r="UN43" s="606"/>
      <c r="UO43" s="606"/>
      <c r="UP43" s="606"/>
      <c r="UQ43" s="606"/>
      <c r="UR43" s="606"/>
      <c r="US43" s="606"/>
      <c r="UT43" s="606"/>
      <c r="UU43" s="606"/>
      <c r="UV43" s="606"/>
      <c r="UW43" s="606"/>
      <c r="UX43" s="606"/>
      <c r="UY43" s="606"/>
      <c r="UZ43" s="606"/>
      <c r="VA43" s="606"/>
      <c r="VB43" s="606"/>
      <c r="VC43" s="606"/>
      <c r="VD43" s="606"/>
      <c r="VE43" s="606"/>
      <c r="VF43" s="606"/>
      <c r="VG43" s="606"/>
      <c r="VH43" s="606"/>
      <c r="VI43" s="606"/>
      <c r="VJ43" s="606"/>
      <c r="VK43" s="606"/>
      <c r="VL43" s="606"/>
      <c r="VM43" s="606"/>
      <c r="VN43" s="606"/>
      <c r="VO43" s="606"/>
      <c r="VP43" s="606"/>
      <c r="VQ43" s="606"/>
      <c r="VR43" s="606"/>
      <c r="VS43" s="606"/>
      <c r="VT43" s="606"/>
      <c r="VU43" s="606"/>
      <c r="VV43" s="606"/>
      <c r="VW43" s="606"/>
      <c r="VX43" s="606"/>
      <c r="VY43" s="606"/>
      <c r="VZ43" s="606"/>
      <c r="WA43" s="606"/>
      <c r="WB43" s="606"/>
      <c r="WC43" s="606"/>
      <c r="WD43" s="606"/>
      <c r="WE43" s="606"/>
      <c r="WF43" s="606"/>
    </row>
    <row r="44" spans="1:604" s="501" customFormat="1" ht="45" customHeight="1" x14ac:dyDescent="0.2">
      <c r="A44" s="450"/>
      <c r="B44" s="450"/>
      <c r="C44" s="450" t="s">
        <v>705</v>
      </c>
      <c r="D44" s="450" t="s">
        <v>190</v>
      </c>
      <c r="E44" s="450">
        <v>30011</v>
      </c>
      <c r="F44" s="604" t="s">
        <v>500</v>
      </c>
      <c r="G44" s="437">
        <f>'MC-DRE'!O38</f>
        <v>268.3</v>
      </c>
      <c r="H44" s="450" t="s">
        <v>0</v>
      </c>
      <c r="I44" s="479">
        <f t="shared" si="3"/>
        <v>133.13999999999999</v>
      </c>
      <c r="J44" s="439">
        <f t="shared" si="1"/>
        <v>169.7</v>
      </c>
      <c r="K44" s="494">
        <f t="shared" si="2"/>
        <v>45530.51</v>
      </c>
      <c r="L44" s="484"/>
      <c r="M44" s="484"/>
      <c r="N44" s="500"/>
      <c r="O44" s="500"/>
      <c r="P44" s="500"/>
      <c r="Q44" s="500"/>
      <c r="R44" s="500"/>
      <c r="S44" s="500"/>
      <c r="T44" s="500"/>
      <c r="U44" s="500"/>
      <c r="V44" s="500"/>
      <c r="W44" s="500"/>
      <c r="X44" s="500"/>
      <c r="Y44" s="500"/>
      <c r="Z44" s="500"/>
      <c r="AA44" s="500"/>
      <c r="AB44" s="500"/>
      <c r="AC44" s="500"/>
      <c r="AD44" s="500"/>
      <c r="AE44" s="500"/>
      <c r="AF44" s="500"/>
      <c r="AG44" s="500"/>
      <c r="AH44" s="500"/>
      <c r="AI44" s="500"/>
      <c r="AJ44" s="500"/>
      <c r="AK44" s="500"/>
      <c r="AL44" s="500"/>
      <c r="AM44" s="500"/>
      <c r="AN44" s="500"/>
      <c r="AO44" s="500"/>
      <c r="AP44" s="500"/>
      <c r="AQ44" s="500"/>
      <c r="AR44" s="500"/>
      <c r="AS44" s="500"/>
      <c r="AT44" s="500"/>
      <c r="AU44" s="500"/>
      <c r="AV44" s="500"/>
      <c r="AW44" s="500"/>
      <c r="AX44" s="500"/>
      <c r="AY44" s="500"/>
      <c r="AZ44" s="500"/>
      <c r="BA44" s="500"/>
      <c r="BB44" s="500"/>
      <c r="BC44" s="500"/>
      <c r="BD44" s="500"/>
      <c r="BE44" s="500"/>
      <c r="BF44" s="500"/>
      <c r="BG44" s="500"/>
      <c r="BH44" s="500"/>
      <c r="BI44" s="500"/>
      <c r="BJ44" s="500"/>
      <c r="BK44" s="500"/>
      <c r="BL44" s="500"/>
      <c r="BM44" s="500"/>
      <c r="BN44" s="500"/>
      <c r="BO44" s="500"/>
      <c r="BP44" s="500"/>
      <c r="BQ44" s="500"/>
      <c r="BR44" s="500"/>
      <c r="BS44" s="500"/>
      <c r="BT44" s="500"/>
      <c r="BU44" s="500"/>
      <c r="BV44" s="500"/>
      <c r="BW44" s="500"/>
      <c r="BX44" s="500"/>
      <c r="BY44" s="500"/>
      <c r="BZ44" s="500"/>
      <c r="CA44" s="500"/>
      <c r="CB44" s="500"/>
      <c r="CC44" s="500"/>
      <c r="CD44" s="500"/>
      <c r="CE44" s="500"/>
      <c r="CF44" s="500"/>
      <c r="CG44" s="500"/>
      <c r="CH44" s="500"/>
      <c r="CI44" s="500"/>
      <c r="CJ44" s="500"/>
      <c r="CK44" s="500"/>
      <c r="CL44" s="500"/>
      <c r="CM44" s="500"/>
      <c r="CN44" s="500"/>
      <c r="CO44" s="500"/>
      <c r="CP44" s="500"/>
      <c r="CQ44" s="500"/>
      <c r="CR44" s="500"/>
      <c r="CS44" s="500"/>
      <c r="CT44" s="500"/>
      <c r="CU44" s="500"/>
      <c r="CV44" s="500"/>
      <c r="CW44" s="500"/>
      <c r="CX44" s="500"/>
      <c r="CY44" s="500"/>
      <c r="CZ44" s="500"/>
      <c r="DA44" s="500"/>
      <c r="DB44" s="500"/>
      <c r="DC44" s="500"/>
      <c r="DD44" s="500"/>
      <c r="DE44" s="500"/>
      <c r="DF44" s="500"/>
      <c r="DG44" s="500"/>
      <c r="DH44" s="500"/>
      <c r="DI44" s="500"/>
      <c r="DJ44" s="500"/>
      <c r="DK44" s="500"/>
      <c r="DL44" s="500"/>
      <c r="DM44" s="500"/>
      <c r="DN44" s="500"/>
      <c r="DO44" s="500"/>
      <c r="DP44" s="500"/>
      <c r="DQ44" s="500"/>
      <c r="DR44" s="500"/>
      <c r="DS44" s="500"/>
      <c r="DT44" s="500"/>
      <c r="DU44" s="500"/>
      <c r="DV44" s="500"/>
      <c r="DW44" s="500"/>
      <c r="DX44" s="500"/>
      <c r="DY44" s="500"/>
      <c r="DZ44" s="500"/>
      <c r="EA44" s="500"/>
      <c r="EB44" s="500"/>
      <c r="EC44" s="500"/>
      <c r="ED44" s="500"/>
      <c r="EE44" s="500"/>
      <c r="EF44" s="500"/>
      <c r="EG44" s="500"/>
      <c r="EH44" s="500"/>
      <c r="EI44" s="500"/>
      <c r="EJ44" s="500"/>
      <c r="EK44" s="500"/>
      <c r="EL44" s="500"/>
      <c r="EM44" s="500"/>
      <c r="EN44" s="500"/>
      <c r="EO44" s="500"/>
      <c r="EP44" s="500"/>
      <c r="EQ44" s="500"/>
      <c r="ER44" s="500"/>
      <c r="ES44" s="500"/>
      <c r="ET44" s="500"/>
      <c r="EU44" s="500"/>
      <c r="EV44" s="500"/>
      <c r="EW44" s="500"/>
      <c r="EX44" s="500"/>
      <c r="EY44" s="500"/>
      <c r="EZ44" s="500"/>
      <c r="FA44" s="500"/>
      <c r="FB44" s="500"/>
      <c r="FC44" s="500"/>
      <c r="FD44" s="500"/>
      <c r="FE44" s="500"/>
      <c r="FF44" s="500"/>
      <c r="FG44" s="500"/>
      <c r="FH44" s="500"/>
      <c r="FI44" s="500"/>
      <c r="FJ44" s="500"/>
      <c r="FK44" s="500"/>
      <c r="FL44" s="500"/>
      <c r="FM44" s="500"/>
      <c r="FN44" s="500"/>
      <c r="FO44" s="500"/>
      <c r="FP44" s="500"/>
      <c r="FQ44" s="500"/>
      <c r="FR44" s="500"/>
      <c r="FS44" s="500"/>
      <c r="FT44" s="500"/>
      <c r="FU44" s="500"/>
      <c r="FV44" s="500"/>
      <c r="FW44" s="500"/>
      <c r="FX44" s="500"/>
      <c r="FY44" s="500"/>
      <c r="FZ44" s="500"/>
      <c r="GA44" s="500"/>
      <c r="GB44" s="500"/>
      <c r="GC44" s="500"/>
      <c r="GD44" s="500"/>
      <c r="GE44" s="500"/>
      <c r="GF44" s="500"/>
      <c r="GG44" s="500"/>
      <c r="GH44" s="500"/>
      <c r="GI44" s="500"/>
      <c r="GJ44" s="500"/>
      <c r="GK44" s="500"/>
      <c r="GL44" s="500"/>
      <c r="GM44" s="500"/>
      <c r="GN44" s="500"/>
      <c r="GO44" s="500"/>
      <c r="GP44" s="500"/>
      <c r="GQ44" s="500"/>
      <c r="GR44" s="500"/>
      <c r="GS44" s="500"/>
      <c r="GT44" s="500"/>
      <c r="GU44" s="500"/>
      <c r="GV44" s="500"/>
      <c r="GW44" s="500"/>
      <c r="GX44" s="500"/>
      <c r="GY44" s="500"/>
      <c r="GZ44" s="500"/>
      <c r="HA44" s="500"/>
      <c r="HB44" s="500"/>
      <c r="HC44" s="500"/>
      <c r="HD44" s="500"/>
      <c r="HE44" s="500"/>
      <c r="HF44" s="500"/>
      <c r="HG44" s="500"/>
      <c r="HH44" s="500"/>
      <c r="HI44" s="500"/>
      <c r="HJ44" s="500"/>
      <c r="HK44" s="500"/>
      <c r="HL44" s="500"/>
      <c r="HM44" s="500"/>
      <c r="HN44" s="500"/>
      <c r="HO44" s="500"/>
      <c r="HP44" s="500"/>
      <c r="HQ44" s="500"/>
      <c r="HR44" s="500"/>
      <c r="HS44" s="500"/>
      <c r="HT44" s="500"/>
      <c r="HU44" s="500"/>
      <c r="HV44" s="500"/>
      <c r="HW44" s="500"/>
      <c r="HX44" s="500"/>
      <c r="HY44" s="500"/>
      <c r="HZ44" s="500"/>
      <c r="IA44" s="500"/>
      <c r="IB44" s="500"/>
      <c r="IC44" s="500"/>
      <c r="ID44" s="500"/>
      <c r="IE44" s="500"/>
      <c r="IF44" s="500"/>
      <c r="IG44" s="500"/>
      <c r="IH44" s="500"/>
      <c r="II44" s="500"/>
      <c r="IJ44" s="500"/>
      <c r="IK44" s="500"/>
      <c r="IL44" s="500"/>
      <c r="IM44" s="500"/>
      <c r="IN44" s="500"/>
      <c r="IO44" s="500"/>
      <c r="IP44" s="500"/>
      <c r="IQ44" s="500"/>
      <c r="IR44" s="500"/>
      <c r="IS44" s="500"/>
      <c r="IT44" s="500"/>
      <c r="IU44" s="500"/>
      <c r="IV44" s="500"/>
      <c r="IW44" s="500"/>
      <c r="IX44" s="500"/>
      <c r="IY44" s="500"/>
      <c r="IZ44" s="500"/>
      <c r="JA44" s="500"/>
      <c r="JB44" s="500"/>
      <c r="JC44" s="500"/>
      <c r="JD44" s="500"/>
      <c r="JE44" s="500"/>
      <c r="JF44" s="500"/>
      <c r="JG44" s="500"/>
      <c r="JH44" s="500"/>
      <c r="JI44" s="500"/>
      <c r="JJ44" s="500"/>
      <c r="JK44" s="500"/>
      <c r="JL44" s="500"/>
      <c r="JM44" s="500"/>
      <c r="JN44" s="500"/>
      <c r="JO44" s="500"/>
      <c r="JP44" s="500"/>
      <c r="JQ44" s="500"/>
      <c r="JR44" s="500"/>
      <c r="JS44" s="500"/>
      <c r="JT44" s="500"/>
      <c r="JU44" s="500"/>
      <c r="JV44" s="500"/>
      <c r="JW44" s="500"/>
      <c r="JX44" s="500"/>
      <c r="JY44" s="500"/>
      <c r="JZ44" s="500"/>
      <c r="KA44" s="500"/>
      <c r="KB44" s="500"/>
      <c r="KC44" s="500"/>
      <c r="KD44" s="500"/>
      <c r="KE44" s="500"/>
      <c r="KF44" s="500"/>
      <c r="KG44" s="500"/>
      <c r="KH44" s="500"/>
      <c r="KI44" s="500"/>
      <c r="KJ44" s="500"/>
      <c r="KK44" s="500"/>
      <c r="KL44" s="500"/>
      <c r="KM44" s="500"/>
      <c r="KN44" s="500"/>
      <c r="KO44" s="500"/>
      <c r="KP44" s="500"/>
      <c r="KQ44" s="500"/>
      <c r="KR44" s="500"/>
      <c r="KS44" s="500"/>
      <c r="KT44" s="500"/>
      <c r="KU44" s="500"/>
      <c r="KV44" s="500"/>
      <c r="KW44" s="500"/>
      <c r="KX44" s="500"/>
      <c r="KY44" s="500"/>
      <c r="KZ44" s="500"/>
      <c r="LA44" s="500"/>
      <c r="LB44" s="500"/>
      <c r="LC44" s="500"/>
      <c r="LD44" s="500"/>
      <c r="LE44" s="500"/>
      <c r="LF44" s="500"/>
      <c r="LG44" s="500"/>
      <c r="LH44" s="500"/>
      <c r="LI44" s="500"/>
      <c r="LJ44" s="500"/>
      <c r="LK44" s="500"/>
      <c r="LL44" s="500"/>
      <c r="LM44" s="500"/>
      <c r="LN44" s="500"/>
      <c r="LO44" s="500"/>
      <c r="LP44" s="500"/>
      <c r="LQ44" s="500"/>
      <c r="LR44" s="500"/>
      <c r="LS44" s="500"/>
      <c r="LT44" s="500"/>
      <c r="LU44" s="500"/>
      <c r="LV44" s="500"/>
      <c r="LW44" s="500"/>
      <c r="LX44" s="500"/>
      <c r="LY44" s="500"/>
      <c r="LZ44" s="500"/>
      <c r="MA44" s="500"/>
      <c r="MB44" s="500"/>
      <c r="MC44" s="500"/>
      <c r="MD44" s="500"/>
      <c r="ME44" s="500"/>
      <c r="MF44" s="500"/>
      <c r="MG44" s="500"/>
      <c r="MH44" s="500"/>
      <c r="MI44" s="500"/>
      <c r="MJ44" s="500"/>
      <c r="MK44" s="500"/>
      <c r="ML44" s="500"/>
      <c r="MM44" s="500"/>
      <c r="MN44" s="500"/>
      <c r="MO44" s="500"/>
      <c r="MP44" s="500"/>
      <c r="MQ44" s="500"/>
      <c r="MR44" s="500"/>
      <c r="MS44" s="500"/>
      <c r="MT44" s="500"/>
      <c r="MU44" s="500"/>
      <c r="MV44" s="500"/>
      <c r="MW44" s="500"/>
      <c r="MX44" s="500"/>
      <c r="MY44" s="500"/>
      <c r="MZ44" s="500"/>
      <c r="NA44" s="500"/>
      <c r="NB44" s="500"/>
      <c r="NC44" s="500"/>
      <c r="ND44" s="500"/>
      <c r="NE44" s="500"/>
      <c r="NF44" s="500"/>
      <c r="NG44" s="500"/>
      <c r="NH44" s="500"/>
      <c r="NI44" s="500"/>
      <c r="NJ44" s="500"/>
      <c r="NK44" s="500"/>
      <c r="NL44" s="500"/>
      <c r="NM44" s="500"/>
      <c r="NN44" s="500"/>
      <c r="NO44" s="500"/>
      <c r="NP44" s="500"/>
      <c r="NQ44" s="500"/>
      <c r="NR44" s="500"/>
      <c r="NS44" s="500"/>
      <c r="NT44" s="500"/>
      <c r="NU44" s="500"/>
      <c r="NV44" s="500"/>
      <c r="NW44" s="500"/>
      <c r="NX44" s="500"/>
      <c r="NY44" s="500"/>
      <c r="NZ44" s="500"/>
      <c r="OA44" s="500"/>
      <c r="OB44" s="500"/>
      <c r="OC44" s="500"/>
      <c r="OD44" s="500"/>
      <c r="OE44" s="500"/>
      <c r="OF44" s="500"/>
      <c r="OG44" s="500"/>
      <c r="OH44" s="500"/>
      <c r="OI44" s="500"/>
      <c r="OJ44" s="500"/>
      <c r="OK44" s="500"/>
      <c r="OL44" s="500"/>
      <c r="OM44" s="500"/>
      <c r="ON44" s="500"/>
      <c r="OO44" s="500"/>
      <c r="OP44" s="500"/>
      <c r="OQ44" s="500"/>
      <c r="OR44" s="500"/>
      <c r="OS44" s="500"/>
      <c r="OT44" s="500"/>
      <c r="OU44" s="500"/>
      <c r="OV44" s="500"/>
      <c r="OW44" s="500"/>
      <c r="OX44" s="500"/>
      <c r="OY44" s="500"/>
      <c r="OZ44" s="500"/>
      <c r="PA44" s="500"/>
      <c r="PB44" s="500"/>
      <c r="PC44" s="500"/>
      <c r="PD44" s="500"/>
      <c r="PE44" s="500"/>
      <c r="PF44" s="500"/>
      <c r="PG44" s="500"/>
      <c r="PH44" s="500"/>
      <c r="PI44" s="500"/>
      <c r="PJ44" s="500"/>
      <c r="PK44" s="500"/>
      <c r="PL44" s="500"/>
      <c r="PM44" s="500"/>
      <c r="PN44" s="500"/>
      <c r="PO44" s="500"/>
      <c r="PP44" s="500"/>
      <c r="PQ44" s="500"/>
      <c r="PR44" s="500"/>
      <c r="PS44" s="500"/>
      <c r="PT44" s="500"/>
      <c r="PU44" s="500"/>
      <c r="PV44" s="500"/>
      <c r="PW44" s="500"/>
      <c r="PX44" s="500"/>
      <c r="PY44" s="500"/>
      <c r="PZ44" s="500"/>
      <c r="QA44" s="500"/>
      <c r="QB44" s="500"/>
      <c r="QC44" s="500"/>
      <c r="QD44" s="500"/>
      <c r="QE44" s="500"/>
      <c r="QF44" s="500"/>
      <c r="QG44" s="500"/>
      <c r="QH44" s="500"/>
      <c r="QI44" s="500"/>
      <c r="QJ44" s="500"/>
      <c r="QK44" s="500"/>
      <c r="QL44" s="500"/>
      <c r="QM44" s="500"/>
      <c r="QN44" s="500"/>
      <c r="QO44" s="500"/>
      <c r="QP44" s="500"/>
      <c r="QQ44" s="500"/>
      <c r="QR44" s="500"/>
      <c r="QS44" s="500"/>
      <c r="QT44" s="500"/>
      <c r="QU44" s="500"/>
      <c r="QV44" s="500"/>
      <c r="QW44" s="500"/>
      <c r="QX44" s="500"/>
      <c r="QY44" s="500"/>
      <c r="QZ44" s="500"/>
      <c r="RA44" s="500"/>
      <c r="RB44" s="500"/>
      <c r="RC44" s="500"/>
      <c r="RD44" s="500"/>
      <c r="RE44" s="500"/>
      <c r="RF44" s="500"/>
      <c r="RG44" s="500"/>
      <c r="RH44" s="500"/>
      <c r="RI44" s="500"/>
      <c r="RJ44" s="500"/>
      <c r="RK44" s="500"/>
      <c r="RL44" s="500"/>
      <c r="RM44" s="500"/>
      <c r="RN44" s="500"/>
      <c r="RO44" s="500"/>
      <c r="RP44" s="500"/>
      <c r="RQ44" s="500"/>
      <c r="RR44" s="500"/>
      <c r="RS44" s="500"/>
      <c r="RT44" s="500"/>
      <c r="RU44" s="500"/>
      <c r="RV44" s="500"/>
      <c r="RW44" s="500"/>
      <c r="RX44" s="500"/>
      <c r="RY44" s="500"/>
      <c r="RZ44" s="500"/>
      <c r="SA44" s="500"/>
      <c r="SB44" s="500"/>
      <c r="SC44" s="500"/>
      <c r="SD44" s="500"/>
      <c r="SE44" s="500"/>
      <c r="SF44" s="500"/>
      <c r="SG44" s="500"/>
      <c r="SH44" s="500"/>
      <c r="SI44" s="500"/>
      <c r="SJ44" s="500"/>
      <c r="SK44" s="500"/>
      <c r="SL44" s="500"/>
      <c r="SM44" s="500"/>
      <c r="SN44" s="500"/>
      <c r="SO44" s="500"/>
      <c r="SP44" s="500"/>
      <c r="SQ44" s="500"/>
      <c r="SR44" s="500"/>
      <c r="SS44" s="500"/>
      <c r="ST44" s="500"/>
      <c r="SU44" s="500"/>
      <c r="SV44" s="500"/>
      <c r="SW44" s="500"/>
      <c r="SX44" s="500"/>
      <c r="SY44" s="500"/>
      <c r="SZ44" s="500"/>
      <c r="TA44" s="500"/>
      <c r="TB44" s="500"/>
      <c r="TC44" s="500"/>
      <c r="TD44" s="500"/>
      <c r="TE44" s="500"/>
      <c r="TF44" s="500"/>
      <c r="TG44" s="500"/>
      <c r="TH44" s="500"/>
      <c r="TI44" s="500"/>
      <c r="TJ44" s="500"/>
      <c r="TK44" s="500"/>
      <c r="TL44" s="500"/>
      <c r="TM44" s="500"/>
      <c r="TN44" s="500"/>
      <c r="TO44" s="500"/>
      <c r="TP44" s="500"/>
      <c r="TQ44" s="500"/>
      <c r="TR44" s="500"/>
      <c r="TS44" s="500"/>
      <c r="TT44" s="500"/>
      <c r="TU44" s="500"/>
      <c r="TV44" s="500"/>
      <c r="TW44" s="500"/>
      <c r="TX44" s="500"/>
      <c r="TY44" s="500"/>
      <c r="TZ44" s="500"/>
      <c r="UA44" s="500"/>
      <c r="UB44" s="500"/>
      <c r="UC44" s="500"/>
      <c r="UD44" s="500"/>
      <c r="UE44" s="500"/>
      <c r="UF44" s="500"/>
      <c r="UG44" s="500"/>
      <c r="UH44" s="500"/>
      <c r="UI44" s="500"/>
      <c r="UJ44" s="500"/>
      <c r="UK44" s="500"/>
      <c r="UL44" s="500"/>
      <c r="UM44" s="500"/>
      <c r="UN44" s="500"/>
      <c r="UO44" s="500"/>
      <c r="UP44" s="500"/>
      <c r="UQ44" s="500"/>
      <c r="UR44" s="500"/>
      <c r="US44" s="500"/>
      <c r="UT44" s="500"/>
      <c r="UU44" s="500"/>
      <c r="UV44" s="500"/>
      <c r="UW44" s="500"/>
      <c r="UX44" s="500"/>
      <c r="UY44" s="500"/>
      <c r="UZ44" s="500"/>
      <c r="VA44" s="500"/>
      <c r="VB44" s="500"/>
      <c r="VC44" s="500"/>
      <c r="VD44" s="500"/>
      <c r="VE44" s="500"/>
      <c r="VF44" s="500"/>
      <c r="VG44" s="500"/>
      <c r="VH44" s="500"/>
      <c r="VI44" s="500"/>
      <c r="VJ44" s="500"/>
      <c r="VK44" s="500"/>
      <c r="VL44" s="500"/>
      <c r="VM44" s="500"/>
      <c r="VN44" s="500"/>
      <c r="VO44" s="500"/>
      <c r="VP44" s="500"/>
      <c r="VQ44" s="500"/>
      <c r="VR44" s="500"/>
      <c r="VS44" s="500"/>
      <c r="VT44" s="500"/>
      <c r="VU44" s="500"/>
      <c r="VV44" s="500"/>
      <c r="VW44" s="500"/>
      <c r="VX44" s="500"/>
      <c r="VY44" s="500"/>
      <c r="VZ44" s="500"/>
      <c r="WA44" s="500"/>
      <c r="WB44" s="500"/>
      <c r="WC44" s="500"/>
      <c r="WD44" s="500"/>
      <c r="WE44" s="500"/>
      <c r="WF44" s="500"/>
    </row>
    <row r="45" spans="1:604" s="498" customFormat="1" ht="63" x14ac:dyDescent="0.2">
      <c r="A45" s="486"/>
      <c r="B45" s="486"/>
      <c r="C45" s="450" t="s">
        <v>706</v>
      </c>
      <c r="D45" s="440" t="s">
        <v>192</v>
      </c>
      <c r="E45" s="441" t="s">
        <v>367</v>
      </c>
      <c r="F45" s="442" t="s">
        <v>621</v>
      </c>
      <c r="G45" s="437">
        <f>'MC-DRE'!P38</f>
        <v>114.99</v>
      </c>
      <c r="H45" s="438" t="s">
        <v>0</v>
      </c>
      <c r="I45" s="479">
        <f t="shared" si="3"/>
        <v>17.77</v>
      </c>
      <c r="J45" s="439">
        <f t="shared" si="1"/>
        <v>22.65</v>
      </c>
      <c r="K45" s="476">
        <f t="shared" si="2"/>
        <v>2604.52</v>
      </c>
      <c r="L45" s="478"/>
      <c r="M45" s="478"/>
      <c r="N45" s="499"/>
      <c r="O45" s="499"/>
      <c r="P45" s="499"/>
      <c r="Q45" s="499"/>
      <c r="R45" s="499"/>
      <c r="S45" s="499"/>
      <c r="T45" s="499"/>
      <c r="U45" s="499"/>
      <c r="V45" s="499"/>
      <c r="W45" s="499"/>
      <c r="X45" s="499"/>
      <c r="Y45" s="499"/>
      <c r="Z45" s="499"/>
      <c r="AA45" s="499"/>
      <c r="AB45" s="499"/>
      <c r="AC45" s="499"/>
      <c r="AD45" s="499"/>
      <c r="AE45" s="499"/>
      <c r="AF45" s="499"/>
      <c r="AG45" s="499"/>
      <c r="AH45" s="499"/>
      <c r="AI45" s="499"/>
      <c r="AJ45" s="499"/>
      <c r="AK45" s="499"/>
      <c r="AL45" s="499"/>
      <c r="AM45" s="499"/>
      <c r="AN45" s="499"/>
      <c r="AO45" s="499"/>
      <c r="AP45" s="499"/>
      <c r="AQ45" s="499"/>
      <c r="AR45" s="499"/>
      <c r="AS45" s="499"/>
      <c r="AT45" s="499"/>
      <c r="AU45" s="499"/>
      <c r="AV45" s="499"/>
      <c r="AW45" s="499"/>
      <c r="AX45" s="499"/>
      <c r="AY45" s="499"/>
      <c r="AZ45" s="499"/>
      <c r="BA45" s="499"/>
      <c r="BB45" s="499"/>
      <c r="BC45" s="499"/>
      <c r="BD45" s="499"/>
      <c r="BE45" s="499"/>
      <c r="BF45" s="499"/>
      <c r="BG45" s="499"/>
      <c r="BH45" s="499"/>
      <c r="BI45" s="499"/>
      <c r="BJ45" s="499"/>
      <c r="BK45" s="499"/>
      <c r="BL45" s="499"/>
      <c r="BM45" s="499"/>
      <c r="BN45" s="499"/>
      <c r="BO45" s="499"/>
      <c r="BP45" s="499"/>
      <c r="BQ45" s="499"/>
      <c r="BR45" s="499"/>
      <c r="BS45" s="499"/>
      <c r="BT45" s="499"/>
      <c r="BU45" s="499"/>
      <c r="BV45" s="499"/>
      <c r="BW45" s="499"/>
      <c r="BX45" s="499"/>
      <c r="BY45" s="499"/>
      <c r="BZ45" s="499"/>
      <c r="CA45" s="499"/>
      <c r="CB45" s="499"/>
      <c r="CC45" s="499"/>
      <c r="CD45" s="499"/>
      <c r="CE45" s="499"/>
      <c r="CF45" s="499"/>
      <c r="CG45" s="499"/>
      <c r="CH45" s="499"/>
      <c r="CI45" s="499"/>
      <c r="CJ45" s="499"/>
      <c r="CK45" s="499"/>
      <c r="CL45" s="499"/>
      <c r="CM45" s="499"/>
      <c r="CN45" s="499"/>
      <c r="CO45" s="499"/>
      <c r="CP45" s="499"/>
      <c r="CQ45" s="499"/>
      <c r="CR45" s="499"/>
      <c r="CS45" s="499"/>
      <c r="CT45" s="499"/>
      <c r="CU45" s="499"/>
      <c r="CV45" s="499"/>
      <c r="CW45" s="499"/>
      <c r="CX45" s="499"/>
      <c r="CY45" s="499"/>
      <c r="CZ45" s="499"/>
      <c r="DA45" s="499"/>
      <c r="DB45" s="499"/>
      <c r="DC45" s="499"/>
      <c r="DD45" s="499"/>
      <c r="DE45" s="499"/>
      <c r="DF45" s="499"/>
      <c r="DG45" s="499"/>
      <c r="DH45" s="499"/>
      <c r="DI45" s="499"/>
      <c r="DJ45" s="499"/>
      <c r="DK45" s="499"/>
      <c r="DL45" s="499"/>
      <c r="DM45" s="499"/>
      <c r="DN45" s="499"/>
      <c r="DO45" s="499"/>
      <c r="DP45" s="499"/>
      <c r="DQ45" s="499"/>
      <c r="DR45" s="499"/>
      <c r="DS45" s="499"/>
      <c r="DT45" s="499"/>
      <c r="DU45" s="499"/>
      <c r="DV45" s="499"/>
      <c r="DW45" s="499"/>
      <c r="DX45" s="499"/>
      <c r="DY45" s="499"/>
      <c r="DZ45" s="499"/>
      <c r="EA45" s="499"/>
      <c r="EB45" s="499"/>
      <c r="EC45" s="499"/>
      <c r="ED45" s="499"/>
      <c r="EE45" s="499"/>
      <c r="EF45" s="499"/>
      <c r="EG45" s="499"/>
      <c r="EH45" s="499"/>
      <c r="EI45" s="499"/>
      <c r="EJ45" s="499"/>
      <c r="EK45" s="499"/>
      <c r="EL45" s="499"/>
      <c r="EM45" s="499"/>
      <c r="EN45" s="499"/>
      <c r="EO45" s="499"/>
      <c r="EP45" s="499"/>
      <c r="EQ45" s="499"/>
      <c r="ER45" s="499"/>
      <c r="ES45" s="499"/>
      <c r="ET45" s="499"/>
      <c r="EU45" s="499"/>
      <c r="EV45" s="499"/>
      <c r="EW45" s="499"/>
      <c r="EX45" s="499"/>
      <c r="EY45" s="499"/>
      <c r="EZ45" s="499"/>
      <c r="FA45" s="499"/>
      <c r="FB45" s="499"/>
      <c r="FC45" s="499"/>
      <c r="FD45" s="499"/>
      <c r="FE45" s="499"/>
      <c r="FF45" s="499"/>
      <c r="FG45" s="499"/>
      <c r="FH45" s="499"/>
      <c r="FI45" s="499"/>
      <c r="FJ45" s="499"/>
      <c r="FK45" s="499"/>
      <c r="FL45" s="499"/>
      <c r="FM45" s="499"/>
      <c r="FN45" s="499"/>
      <c r="FO45" s="499"/>
      <c r="FP45" s="499"/>
      <c r="FQ45" s="499"/>
      <c r="FR45" s="499"/>
      <c r="FS45" s="499"/>
      <c r="FT45" s="499"/>
      <c r="FU45" s="499"/>
      <c r="FV45" s="499"/>
      <c r="FW45" s="499"/>
      <c r="FX45" s="499"/>
      <c r="FY45" s="499"/>
      <c r="FZ45" s="499"/>
      <c r="GA45" s="499"/>
      <c r="GB45" s="499"/>
      <c r="GC45" s="499"/>
      <c r="GD45" s="499"/>
      <c r="GE45" s="499"/>
      <c r="GF45" s="499"/>
      <c r="GG45" s="499"/>
      <c r="GH45" s="499"/>
      <c r="GI45" s="499"/>
      <c r="GJ45" s="499"/>
      <c r="GK45" s="499"/>
      <c r="GL45" s="499"/>
      <c r="GM45" s="499"/>
      <c r="GN45" s="499"/>
      <c r="GO45" s="499"/>
      <c r="GP45" s="499"/>
      <c r="GQ45" s="499"/>
      <c r="GR45" s="499"/>
      <c r="GS45" s="499"/>
      <c r="GT45" s="499"/>
      <c r="GU45" s="499"/>
      <c r="GV45" s="499"/>
      <c r="GW45" s="499"/>
      <c r="GX45" s="499"/>
      <c r="GY45" s="499"/>
      <c r="GZ45" s="499"/>
      <c r="HA45" s="499"/>
      <c r="HB45" s="499"/>
      <c r="HC45" s="499"/>
      <c r="HD45" s="499"/>
      <c r="HE45" s="499"/>
      <c r="HF45" s="499"/>
      <c r="HG45" s="499"/>
      <c r="HH45" s="499"/>
      <c r="HI45" s="499"/>
      <c r="HJ45" s="499"/>
      <c r="HK45" s="499"/>
      <c r="HL45" s="499"/>
      <c r="HM45" s="499"/>
      <c r="HN45" s="499"/>
      <c r="HO45" s="499"/>
      <c r="HP45" s="499"/>
      <c r="HQ45" s="499"/>
      <c r="HR45" s="499"/>
      <c r="HS45" s="499"/>
      <c r="HT45" s="499"/>
      <c r="HU45" s="499"/>
      <c r="HV45" s="499"/>
      <c r="HW45" s="499"/>
      <c r="HX45" s="499"/>
      <c r="HY45" s="499"/>
      <c r="HZ45" s="499"/>
      <c r="IA45" s="499"/>
      <c r="IB45" s="499"/>
      <c r="IC45" s="499"/>
      <c r="ID45" s="499"/>
      <c r="IE45" s="499"/>
      <c r="IF45" s="499"/>
      <c r="IG45" s="499"/>
      <c r="IH45" s="499"/>
      <c r="II45" s="499"/>
      <c r="IJ45" s="499"/>
      <c r="IK45" s="499"/>
      <c r="IL45" s="499"/>
      <c r="IM45" s="499"/>
      <c r="IN45" s="499"/>
      <c r="IO45" s="499"/>
      <c r="IP45" s="499"/>
      <c r="IQ45" s="499"/>
      <c r="IR45" s="499"/>
      <c r="IS45" s="499"/>
      <c r="IT45" s="499"/>
      <c r="IU45" s="499"/>
      <c r="IV45" s="499"/>
      <c r="IW45" s="499"/>
      <c r="IX45" s="499"/>
      <c r="IY45" s="499"/>
      <c r="IZ45" s="499"/>
      <c r="JA45" s="499"/>
      <c r="JB45" s="499"/>
      <c r="JC45" s="499"/>
      <c r="JD45" s="499"/>
      <c r="JE45" s="499"/>
      <c r="JF45" s="499"/>
      <c r="JG45" s="499"/>
      <c r="JH45" s="499"/>
      <c r="JI45" s="499"/>
      <c r="JJ45" s="499"/>
      <c r="JK45" s="499"/>
      <c r="JL45" s="499"/>
      <c r="JM45" s="499"/>
      <c r="JN45" s="499"/>
      <c r="JO45" s="499"/>
      <c r="JP45" s="499"/>
      <c r="JQ45" s="499"/>
      <c r="JR45" s="499"/>
      <c r="JS45" s="499"/>
      <c r="JT45" s="499"/>
      <c r="JU45" s="499"/>
      <c r="JV45" s="499"/>
      <c r="JW45" s="499"/>
      <c r="JX45" s="499"/>
      <c r="JY45" s="499"/>
      <c r="JZ45" s="499"/>
      <c r="KA45" s="499"/>
      <c r="KB45" s="499"/>
      <c r="KC45" s="499"/>
      <c r="KD45" s="499"/>
      <c r="KE45" s="499"/>
      <c r="KF45" s="499"/>
      <c r="KG45" s="499"/>
      <c r="KH45" s="499"/>
      <c r="KI45" s="499"/>
      <c r="KJ45" s="499"/>
      <c r="KK45" s="499"/>
      <c r="KL45" s="499"/>
      <c r="KM45" s="499"/>
      <c r="KN45" s="499"/>
      <c r="KO45" s="499"/>
      <c r="KP45" s="499"/>
      <c r="KQ45" s="499"/>
      <c r="KR45" s="499"/>
      <c r="KS45" s="499"/>
      <c r="KT45" s="499"/>
      <c r="KU45" s="499"/>
      <c r="KV45" s="499"/>
      <c r="KW45" s="499"/>
      <c r="KX45" s="499"/>
      <c r="KY45" s="499"/>
      <c r="KZ45" s="499"/>
      <c r="LA45" s="499"/>
      <c r="LB45" s="499"/>
      <c r="LC45" s="499"/>
      <c r="LD45" s="499"/>
      <c r="LE45" s="499"/>
      <c r="LF45" s="499"/>
      <c r="LG45" s="499"/>
      <c r="LH45" s="499"/>
      <c r="LI45" s="499"/>
      <c r="LJ45" s="499"/>
      <c r="LK45" s="499"/>
      <c r="LL45" s="499"/>
      <c r="LM45" s="499"/>
      <c r="LN45" s="499"/>
      <c r="LO45" s="499"/>
      <c r="LP45" s="499"/>
      <c r="LQ45" s="499"/>
      <c r="LR45" s="499"/>
      <c r="LS45" s="499"/>
      <c r="LT45" s="499"/>
      <c r="LU45" s="499"/>
      <c r="LV45" s="499"/>
      <c r="LW45" s="499"/>
      <c r="LX45" s="499"/>
      <c r="LY45" s="499"/>
      <c r="LZ45" s="499"/>
      <c r="MA45" s="499"/>
      <c r="MB45" s="499"/>
      <c r="MC45" s="499"/>
      <c r="MD45" s="499"/>
      <c r="ME45" s="499"/>
      <c r="MF45" s="499"/>
      <c r="MG45" s="499"/>
      <c r="MH45" s="499"/>
      <c r="MI45" s="499"/>
      <c r="MJ45" s="499"/>
      <c r="MK45" s="499"/>
      <c r="ML45" s="499"/>
      <c r="MM45" s="499"/>
      <c r="MN45" s="499"/>
      <c r="MO45" s="499"/>
      <c r="MP45" s="499"/>
      <c r="MQ45" s="499"/>
      <c r="MR45" s="499"/>
      <c r="MS45" s="499"/>
      <c r="MT45" s="499"/>
      <c r="MU45" s="499"/>
      <c r="MV45" s="499"/>
      <c r="MW45" s="499"/>
      <c r="MX45" s="499"/>
      <c r="MY45" s="499"/>
      <c r="MZ45" s="499"/>
      <c r="NA45" s="499"/>
      <c r="NB45" s="499"/>
      <c r="NC45" s="499"/>
      <c r="ND45" s="499"/>
      <c r="NE45" s="499"/>
      <c r="NF45" s="499"/>
      <c r="NG45" s="499"/>
      <c r="NH45" s="499"/>
      <c r="NI45" s="499"/>
      <c r="NJ45" s="499"/>
      <c r="NK45" s="499"/>
      <c r="NL45" s="499"/>
      <c r="NM45" s="499"/>
      <c r="NN45" s="499"/>
      <c r="NO45" s="499"/>
      <c r="NP45" s="499"/>
      <c r="NQ45" s="499"/>
      <c r="NR45" s="499"/>
      <c r="NS45" s="499"/>
      <c r="NT45" s="499"/>
      <c r="NU45" s="499"/>
      <c r="NV45" s="499"/>
      <c r="NW45" s="499"/>
      <c r="NX45" s="499"/>
      <c r="NY45" s="499"/>
      <c r="NZ45" s="499"/>
      <c r="OA45" s="499"/>
      <c r="OB45" s="499"/>
      <c r="OC45" s="499"/>
      <c r="OD45" s="499"/>
      <c r="OE45" s="499"/>
      <c r="OF45" s="499"/>
      <c r="OG45" s="499"/>
      <c r="OH45" s="499"/>
      <c r="OI45" s="499"/>
      <c r="OJ45" s="499"/>
      <c r="OK45" s="499"/>
      <c r="OL45" s="499"/>
      <c r="OM45" s="499"/>
      <c r="ON45" s="499"/>
      <c r="OO45" s="499"/>
      <c r="OP45" s="499"/>
      <c r="OQ45" s="499"/>
      <c r="OR45" s="499"/>
      <c r="OS45" s="499"/>
      <c r="OT45" s="499"/>
      <c r="OU45" s="499"/>
      <c r="OV45" s="499"/>
      <c r="OW45" s="499"/>
      <c r="OX45" s="499"/>
      <c r="OY45" s="499"/>
      <c r="OZ45" s="499"/>
      <c r="PA45" s="499"/>
      <c r="PB45" s="499"/>
      <c r="PC45" s="499"/>
      <c r="PD45" s="499"/>
      <c r="PE45" s="499"/>
      <c r="PF45" s="499"/>
      <c r="PG45" s="499"/>
      <c r="PH45" s="499"/>
      <c r="PI45" s="499"/>
      <c r="PJ45" s="499"/>
      <c r="PK45" s="499"/>
      <c r="PL45" s="499"/>
      <c r="PM45" s="499"/>
      <c r="PN45" s="499"/>
      <c r="PO45" s="499"/>
      <c r="PP45" s="499"/>
      <c r="PQ45" s="499"/>
      <c r="PR45" s="499"/>
      <c r="PS45" s="499"/>
      <c r="PT45" s="499"/>
      <c r="PU45" s="499"/>
      <c r="PV45" s="499"/>
      <c r="PW45" s="499"/>
      <c r="PX45" s="499"/>
      <c r="PY45" s="499"/>
      <c r="PZ45" s="499"/>
      <c r="QA45" s="499"/>
      <c r="QB45" s="499"/>
      <c r="QC45" s="499"/>
      <c r="QD45" s="499"/>
      <c r="QE45" s="499"/>
      <c r="QF45" s="499"/>
      <c r="QG45" s="499"/>
      <c r="QH45" s="499"/>
      <c r="QI45" s="499"/>
      <c r="QJ45" s="499"/>
      <c r="QK45" s="499"/>
      <c r="QL45" s="499"/>
      <c r="QM45" s="499"/>
      <c r="QN45" s="499"/>
      <c r="QO45" s="499"/>
      <c r="QP45" s="499"/>
      <c r="QQ45" s="499"/>
      <c r="QR45" s="499"/>
      <c r="QS45" s="499"/>
      <c r="QT45" s="499"/>
      <c r="QU45" s="499"/>
      <c r="QV45" s="499"/>
      <c r="QW45" s="499"/>
      <c r="QX45" s="499"/>
      <c r="QY45" s="499"/>
      <c r="QZ45" s="499"/>
      <c r="RA45" s="499"/>
      <c r="RB45" s="499"/>
      <c r="RC45" s="499"/>
      <c r="RD45" s="499"/>
      <c r="RE45" s="499"/>
      <c r="RF45" s="499"/>
      <c r="RG45" s="499"/>
      <c r="RH45" s="499"/>
      <c r="RI45" s="499"/>
      <c r="RJ45" s="499"/>
      <c r="RK45" s="499"/>
      <c r="RL45" s="499"/>
      <c r="RM45" s="499"/>
      <c r="RN45" s="499"/>
      <c r="RO45" s="499"/>
      <c r="RP45" s="499"/>
      <c r="RQ45" s="499"/>
      <c r="RR45" s="499"/>
      <c r="RS45" s="499"/>
      <c r="RT45" s="499"/>
      <c r="RU45" s="499"/>
      <c r="RV45" s="499"/>
      <c r="RW45" s="499"/>
      <c r="RX45" s="499"/>
      <c r="RY45" s="499"/>
      <c r="RZ45" s="499"/>
      <c r="SA45" s="499"/>
      <c r="SB45" s="499"/>
      <c r="SC45" s="499"/>
      <c r="SD45" s="499"/>
      <c r="SE45" s="499"/>
      <c r="SF45" s="499"/>
      <c r="SG45" s="499"/>
      <c r="SH45" s="499"/>
      <c r="SI45" s="499"/>
      <c r="SJ45" s="499"/>
      <c r="SK45" s="499"/>
      <c r="SL45" s="499"/>
      <c r="SM45" s="499"/>
      <c r="SN45" s="499"/>
      <c r="SO45" s="499"/>
      <c r="SP45" s="499"/>
      <c r="SQ45" s="499"/>
      <c r="SR45" s="499"/>
      <c r="SS45" s="499"/>
      <c r="ST45" s="499"/>
      <c r="SU45" s="499"/>
      <c r="SV45" s="499"/>
      <c r="SW45" s="499"/>
      <c r="SX45" s="499"/>
      <c r="SY45" s="499"/>
      <c r="SZ45" s="499"/>
      <c r="TA45" s="499"/>
      <c r="TB45" s="499"/>
      <c r="TC45" s="499"/>
      <c r="TD45" s="499"/>
      <c r="TE45" s="499"/>
      <c r="TF45" s="499"/>
      <c r="TG45" s="499"/>
      <c r="TH45" s="499"/>
      <c r="TI45" s="499"/>
      <c r="TJ45" s="499"/>
      <c r="TK45" s="499"/>
      <c r="TL45" s="499"/>
      <c r="TM45" s="499"/>
      <c r="TN45" s="499"/>
      <c r="TO45" s="499"/>
      <c r="TP45" s="499"/>
      <c r="TQ45" s="499"/>
      <c r="TR45" s="499"/>
      <c r="TS45" s="499"/>
      <c r="TT45" s="499"/>
      <c r="TU45" s="499"/>
      <c r="TV45" s="499"/>
      <c r="TW45" s="499"/>
      <c r="TX45" s="499"/>
      <c r="TY45" s="499"/>
      <c r="TZ45" s="499"/>
      <c r="UA45" s="499"/>
      <c r="UB45" s="499"/>
      <c r="UC45" s="499"/>
      <c r="UD45" s="499"/>
      <c r="UE45" s="499"/>
      <c r="UF45" s="499"/>
      <c r="UG45" s="499"/>
      <c r="UH45" s="499"/>
      <c r="UI45" s="499"/>
      <c r="UJ45" s="499"/>
      <c r="UK45" s="499"/>
      <c r="UL45" s="499"/>
      <c r="UM45" s="499"/>
      <c r="UN45" s="499"/>
      <c r="UO45" s="499"/>
      <c r="UP45" s="499"/>
      <c r="UQ45" s="499"/>
      <c r="UR45" s="499"/>
      <c r="US45" s="499"/>
      <c r="UT45" s="499"/>
      <c r="UU45" s="499"/>
      <c r="UV45" s="499"/>
      <c r="UW45" s="499"/>
      <c r="UX45" s="499"/>
      <c r="UY45" s="499"/>
      <c r="UZ45" s="499"/>
      <c r="VA45" s="499"/>
      <c r="VB45" s="499"/>
      <c r="VC45" s="499"/>
      <c r="VD45" s="499"/>
      <c r="VE45" s="499"/>
      <c r="VF45" s="499"/>
      <c r="VG45" s="499"/>
      <c r="VH45" s="499"/>
      <c r="VI45" s="499"/>
      <c r="VJ45" s="499"/>
      <c r="VK45" s="499"/>
      <c r="VL45" s="499"/>
      <c r="VM45" s="499"/>
      <c r="VN45" s="499"/>
      <c r="VO45" s="499"/>
      <c r="VP45" s="499"/>
      <c r="VQ45" s="499"/>
      <c r="VR45" s="499"/>
      <c r="VS45" s="499"/>
      <c r="VT45" s="499"/>
      <c r="VU45" s="499"/>
      <c r="VV45" s="499"/>
      <c r="VW45" s="499"/>
      <c r="VX45" s="499"/>
      <c r="VY45" s="499"/>
      <c r="VZ45" s="499"/>
      <c r="WA45" s="499"/>
      <c r="WB45" s="499"/>
      <c r="WC45" s="499"/>
      <c r="WD45" s="499"/>
      <c r="WE45" s="499"/>
      <c r="WF45" s="499"/>
    </row>
    <row r="46" spans="1:604" s="498" customFormat="1" ht="45" hidden="1" customHeight="1" x14ac:dyDescent="0.2">
      <c r="A46" s="486"/>
      <c r="B46" s="486"/>
      <c r="C46" s="450" t="s">
        <v>707</v>
      </c>
      <c r="D46" s="450" t="s">
        <v>192</v>
      </c>
      <c r="E46" s="435">
        <v>101579</v>
      </c>
      <c r="F46" s="442" t="s">
        <v>620</v>
      </c>
      <c r="G46" s="437">
        <f>'MC-DRE'!Q38</f>
        <v>0</v>
      </c>
      <c r="H46" s="437" t="s">
        <v>2</v>
      </c>
      <c r="I46" s="479">
        <f t="shared" si="3"/>
        <v>35.28</v>
      </c>
      <c r="J46" s="439">
        <f t="shared" si="1"/>
        <v>44.97</v>
      </c>
      <c r="K46" s="476">
        <f t="shared" si="2"/>
        <v>0</v>
      </c>
      <c r="L46" s="478"/>
      <c r="M46" s="478"/>
      <c r="N46" s="499"/>
      <c r="O46" s="499"/>
      <c r="P46" s="499"/>
      <c r="Q46" s="499"/>
      <c r="R46" s="499"/>
      <c r="S46" s="499"/>
      <c r="T46" s="499"/>
      <c r="U46" s="499"/>
      <c r="V46" s="499"/>
      <c r="W46" s="499"/>
      <c r="X46" s="499"/>
      <c r="Y46" s="499"/>
      <c r="Z46" s="499"/>
      <c r="AA46" s="499"/>
      <c r="AB46" s="499"/>
      <c r="AC46" s="499"/>
      <c r="AD46" s="499"/>
      <c r="AE46" s="499"/>
      <c r="AF46" s="499"/>
      <c r="AG46" s="499"/>
      <c r="AH46" s="499"/>
      <c r="AI46" s="499"/>
      <c r="AJ46" s="499"/>
      <c r="AK46" s="499"/>
      <c r="AL46" s="499"/>
      <c r="AM46" s="499"/>
      <c r="AN46" s="499"/>
      <c r="AO46" s="499"/>
      <c r="AP46" s="499"/>
      <c r="AQ46" s="499"/>
      <c r="AR46" s="499"/>
      <c r="AS46" s="499"/>
      <c r="AT46" s="499"/>
      <c r="AU46" s="499"/>
      <c r="AV46" s="499"/>
      <c r="AW46" s="499"/>
      <c r="AX46" s="499"/>
      <c r="AY46" s="499"/>
      <c r="AZ46" s="499"/>
      <c r="BA46" s="499"/>
      <c r="BB46" s="499"/>
      <c r="BC46" s="499"/>
      <c r="BD46" s="499"/>
      <c r="BE46" s="499"/>
      <c r="BF46" s="499"/>
      <c r="BG46" s="499"/>
      <c r="BH46" s="499"/>
      <c r="BI46" s="499"/>
      <c r="BJ46" s="499"/>
      <c r="BK46" s="499"/>
      <c r="BL46" s="499"/>
      <c r="BM46" s="499"/>
      <c r="BN46" s="499"/>
      <c r="BO46" s="499"/>
      <c r="BP46" s="499"/>
      <c r="BQ46" s="499"/>
      <c r="BR46" s="499"/>
      <c r="BS46" s="499"/>
      <c r="BT46" s="499"/>
      <c r="BU46" s="499"/>
      <c r="BV46" s="499"/>
      <c r="BW46" s="499"/>
      <c r="BX46" s="499"/>
      <c r="BY46" s="499"/>
      <c r="BZ46" s="499"/>
      <c r="CA46" s="499"/>
      <c r="CB46" s="499"/>
      <c r="CC46" s="499"/>
      <c r="CD46" s="499"/>
      <c r="CE46" s="499"/>
      <c r="CF46" s="499"/>
      <c r="CG46" s="499"/>
      <c r="CH46" s="499"/>
      <c r="CI46" s="499"/>
      <c r="CJ46" s="499"/>
      <c r="CK46" s="499"/>
      <c r="CL46" s="499"/>
      <c r="CM46" s="499"/>
      <c r="CN46" s="499"/>
      <c r="CO46" s="499"/>
      <c r="CP46" s="499"/>
      <c r="CQ46" s="499"/>
      <c r="CR46" s="499"/>
      <c r="CS46" s="499"/>
      <c r="CT46" s="499"/>
      <c r="CU46" s="499"/>
      <c r="CV46" s="499"/>
      <c r="CW46" s="499"/>
      <c r="CX46" s="499"/>
      <c r="CY46" s="499"/>
      <c r="CZ46" s="499"/>
      <c r="DA46" s="499"/>
      <c r="DB46" s="499"/>
      <c r="DC46" s="499"/>
      <c r="DD46" s="499"/>
      <c r="DE46" s="499"/>
      <c r="DF46" s="499"/>
      <c r="DG46" s="499"/>
      <c r="DH46" s="499"/>
      <c r="DI46" s="499"/>
      <c r="DJ46" s="499"/>
      <c r="DK46" s="499"/>
      <c r="DL46" s="499"/>
      <c r="DM46" s="499"/>
      <c r="DN46" s="499"/>
      <c r="DO46" s="499"/>
      <c r="DP46" s="499"/>
      <c r="DQ46" s="499"/>
      <c r="DR46" s="499"/>
      <c r="DS46" s="499"/>
      <c r="DT46" s="499"/>
      <c r="DU46" s="499"/>
      <c r="DV46" s="499"/>
      <c r="DW46" s="499"/>
      <c r="DX46" s="499"/>
      <c r="DY46" s="499"/>
      <c r="DZ46" s="499"/>
      <c r="EA46" s="499"/>
      <c r="EB46" s="499"/>
      <c r="EC46" s="499"/>
      <c r="ED46" s="499"/>
      <c r="EE46" s="499"/>
      <c r="EF46" s="499"/>
      <c r="EG46" s="499"/>
      <c r="EH46" s="499"/>
      <c r="EI46" s="499"/>
      <c r="EJ46" s="499"/>
      <c r="EK46" s="499"/>
      <c r="EL46" s="499"/>
      <c r="EM46" s="499"/>
      <c r="EN46" s="499"/>
      <c r="EO46" s="499"/>
      <c r="EP46" s="499"/>
      <c r="EQ46" s="499"/>
      <c r="ER46" s="499"/>
      <c r="ES46" s="499"/>
      <c r="ET46" s="499"/>
      <c r="EU46" s="499"/>
      <c r="EV46" s="499"/>
      <c r="EW46" s="499"/>
      <c r="EX46" s="499"/>
      <c r="EY46" s="499"/>
      <c r="EZ46" s="499"/>
      <c r="FA46" s="499"/>
      <c r="FB46" s="499"/>
      <c r="FC46" s="499"/>
      <c r="FD46" s="499"/>
      <c r="FE46" s="499"/>
      <c r="FF46" s="499"/>
      <c r="FG46" s="499"/>
      <c r="FH46" s="499"/>
      <c r="FI46" s="499"/>
      <c r="FJ46" s="499"/>
      <c r="FK46" s="499"/>
      <c r="FL46" s="499"/>
      <c r="FM46" s="499"/>
      <c r="FN46" s="499"/>
      <c r="FO46" s="499"/>
      <c r="FP46" s="499"/>
      <c r="FQ46" s="499"/>
      <c r="FR46" s="499"/>
      <c r="FS46" s="499"/>
      <c r="FT46" s="499"/>
      <c r="FU46" s="499"/>
      <c r="FV46" s="499"/>
      <c r="FW46" s="499"/>
      <c r="FX46" s="499"/>
      <c r="FY46" s="499"/>
      <c r="FZ46" s="499"/>
      <c r="GA46" s="499"/>
      <c r="GB46" s="499"/>
      <c r="GC46" s="499"/>
      <c r="GD46" s="499"/>
      <c r="GE46" s="499"/>
      <c r="GF46" s="499"/>
      <c r="GG46" s="499"/>
      <c r="GH46" s="499"/>
      <c r="GI46" s="499"/>
      <c r="GJ46" s="499"/>
      <c r="GK46" s="499"/>
      <c r="GL46" s="499"/>
      <c r="GM46" s="499"/>
      <c r="GN46" s="499"/>
      <c r="GO46" s="499"/>
      <c r="GP46" s="499"/>
      <c r="GQ46" s="499"/>
      <c r="GR46" s="499"/>
      <c r="GS46" s="499"/>
      <c r="GT46" s="499"/>
      <c r="GU46" s="499"/>
      <c r="GV46" s="499"/>
      <c r="GW46" s="499"/>
      <c r="GX46" s="499"/>
      <c r="GY46" s="499"/>
      <c r="GZ46" s="499"/>
      <c r="HA46" s="499"/>
      <c r="HB46" s="499"/>
      <c r="HC46" s="499"/>
      <c r="HD46" s="499"/>
      <c r="HE46" s="499"/>
      <c r="HF46" s="499"/>
      <c r="HG46" s="499"/>
      <c r="HH46" s="499"/>
      <c r="HI46" s="499"/>
      <c r="HJ46" s="499"/>
      <c r="HK46" s="499"/>
      <c r="HL46" s="499"/>
      <c r="HM46" s="499"/>
      <c r="HN46" s="499"/>
      <c r="HO46" s="499"/>
      <c r="HP46" s="499"/>
      <c r="HQ46" s="499"/>
      <c r="HR46" s="499"/>
      <c r="HS46" s="499"/>
      <c r="HT46" s="499"/>
      <c r="HU46" s="499"/>
      <c r="HV46" s="499"/>
      <c r="HW46" s="499"/>
      <c r="HX46" s="499"/>
      <c r="HY46" s="499"/>
      <c r="HZ46" s="499"/>
      <c r="IA46" s="499"/>
      <c r="IB46" s="499"/>
      <c r="IC46" s="499"/>
      <c r="ID46" s="499"/>
      <c r="IE46" s="499"/>
      <c r="IF46" s="499"/>
      <c r="IG46" s="499"/>
      <c r="IH46" s="499"/>
      <c r="II46" s="499"/>
      <c r="IJ46" s="499"/>
      <c r="IK46" s="499"/>
      <c r="IL46" s="499"/>
      <c r="IM46" s="499"/>
      <c r="IN46" s="499"/>
      <c r="IO46" s="499"/>
      <c r="IP46" s="499"/>
      <c r="IQ46" s="499"/>
      <c r="IR46" s="499"/>
      <c r="IS46" s="499"/>
      <c r="IT46" s="499"/>
      <c r="IU46" s="499"/>
      <c r="IV46" s="499"/>
      <c r="IW46" s="499"/>
      <c r="IX46" s="499"/>
      <c r="IY46" s="499"/>
      <c r="IZ46" s="499"/>
      <c r="JA46" s="499"/>
      <c r="JB46" s="499"/>
      <c r="JC46" s="499"/>
      <c r="JD46" s="499"/>
      <c r="JE46" s="499"/>
      <c r="JF46" s="499"/>
      <c r="JG46" s="499"/>
      <c r="JH46" s="499"/>
      <c r="JI46" s="499"/>
      <c r="JJ46" s="499"/>
      <c r="JK46" s="499"/>
      <c r="JL46" s="499"/>
      <c r="JM46" s="499"/>
      <c r="JN46" s="499"/>
      <c r="JO46" s="499"/>
      <c r="JP46" s="499"/>
      <c r="JQ46" s="499"/>
      <c r="JR46" s="499"/>
      <c r="JS46" s="499"/>
      <c r="JT46" s="499"/>
      <c r="JU46" s="499"/>
      <c r="JV46" s="499"/>
      <c r="JW46" s="499"/>
      <c r="JX46" s="499"/>
      <c r="JY46" s="499"/>
      <c r="JZ46" s="499"/>
      <c r="KA46" s="499"/>
      <c r="KB46" s="499"/>
      <c r="KC46" s="499"/>
      <c r="KD46" s="499"/>
      <c r="KE46" s="499"/>
      <c r="KF46" s="499"/>
      <c r="KG46" s="499"/>
      <c r="KH46" s="499"/>
      <c r="KI46" s="499"/>
      <c r="KJ46" s="499"/>
      <c r="KK46" s="499"/>
      <c r="KL46" s="499"/>
      <c r="KM46" s="499"/>
      <c r="KN46" s="499"/>
      <c r="KO46" s="499"/>
      <c r="KP46" s="499"/>
      <c r="KQ46" s="499"/>
      <c r="KR46" s="499"/>
      <c r="KS46" s="499"/>
      <c r="KT46" s="499"/>
      <c r="KU46" s="499"/>
      <c r="KV46" s="499"/>
      <c r="KW46" s="499"/>
      <c r="KX46" s="499"/>
      <c r="KY46" s="499"/>
      <c r="KZ46" s="499"/>
      <c r="LA46" s="499"/>
      <c r="LB46" s="499"/>
      <c r="LC46" s="499"/>
      <c r="LD46" s="499"/>
      <c r="LE46" s="499"/>
      <c r="LF46" s="499"/>
      <c r="LG46" s="499"/>
      <c r="LH46" s="499"/>
      <c r="LI46" s="499"/>
      <c r="LJ46" s="499"/>
      <c r="LK46" s="499"/>
      <c r="LL46" s="499"/>
      <c r="LM46" s="499"/>
      <c r="LN46" s="499"/>
      <c r="LO46" s="499"/>
      <c r="LP46" s="499"/>
      <c r="LQ46" s="499"/>
      <c r="LR46" s="499"/>
      <c r="LS46" s="499"/>
      <c r="LT46" s="499"/>
      <c r="LU46" s="499"/>
      <c r="LV46" s="499"/>
      <c r="LW46" s="499"/>
      <c r="LX46" s="499"/>
      <c r="LY46" s="499"/>
      <c r="LZ46" s="499"/>
      <c r="MA46" s="499"/>
      <c r="MB46" s="499"/>
      <c r="MC46" s="499"/>
      <c r="MD46" s="499"/>
      <c r="ME46" s="499"/>
      <c r="MF46" s="499"/>
      <c r="MG46" s="499"/>
      <c r="MH46" s="499"/>
      <c r="MI46" s="499"/>
      <c r="MJ46" s="499"/>
      <c r="MK46" s="499"/>
      <c r="ML46" s="499"/>
      <c r="MM46" s="499"/>
      <c r="MN46" s="499"/>
      <c r="MO46" s="499"/>
      <c r="MP46" s="499"/>
      <c r="MQ46" s="499"/>
      <c r="MR46" s="499"/>
      <c r="MS46" s="499"/>
      <c r="MT46" s="499"/>
      <c r="MU46" s="499"/>
      <c r="MV46" s="499"/>
      <c r="MW46" s="499"/>
      <c r="MX46" s="499"/>
      <c r="MY46" s="499"/>
      <c r="MZ46" s="499"/>
      <c r="NA46" s="499"/>
      <c r="NB46" s="499"/>
      <c r="NC46" s="499"/>
      <c r="ND46" s="499"/>
      <c r="NE46" s="499"/>
      <c r="NF46" s="499"/>
      <c r="NG46" s="499"/>
      <c r="NH46" s="499"/>
      <c r="NI46" s="499"/>
      <c r="NJ46" s="499"/>
      <c r="NK46" s="499"/>
      <c r="NL46" s="499"/>
      <c r="NM46" s="499"/>
      <c r="NN46" s="499"/>
      <c r="NO46" s="499"/>
      <c r="NP46" s="499"/>
      <c r="NQ46" s="499"/>
      <c r="NR46" s="499"/>
      <c r="NS46" s="499"/>
      <c r="NT46" s="499"/>
      <c r="NU46" s="499"/>
      <c r="NV46" s="499"/>
      <c r="NW46" s="499"/>
      <c r="NX46" s="499"/>
      <c r="NY46" s="499"/>
      <c r="NZ46" s="499"/>
      <c r="OA46" s="499"/>
      <c r="OB46" s="499"/>
      <c r="OC46" s="499"/>
      <c r="OD46" s="499"/>
      <c r="OE46" s="499"/>
      <c r="OF46" s="499"/>
      <c r="OG46" s="499"/>
      <c r="OH46" s="499"/>
      <c r="OI46" s="499"/>
      <c r="OJ46" s="499"/>
      <c r="OK46" s="499"/>
      <c r="OL46" s="499"/>
      <c r="OM46" s="499"/>
      <c r="ON46" s="499"/>
      <c r="OO46" s="499"/>
      <c r="OP46" s="499"/>
      <c r="OQ46" s="499"/>
      <c r="OR46" s="499"/>
      <c r="OS46" s="499"/>
      <c r="OT46" s="499"/>
      <c r="OU46" s="499"/>
      <c r="OV46" s="499"/>
      <c r="OW46" s="499"/>
      <c r="OX46" s="499"/>
      <c r="OY46" s="499"/>
      <c r="OZ46" s="499"/>
      <c r="PA46" s="499"/>
      <c r="PB46" s="499"/>
      <c r="PC46" s="499"/>
      <c r="PD46" s="499"/>
      <c r="PE46" s="499"/>
      <c r="PF46" s="499"/>
      <c r="PG46" s="499"/>
      <c r="PH46" s="499"/>
      <c r="PI46" s="499"/>
      <c r="PJ46" s="499"/>
      <c r="PK46" s="499"/>
      <c r="PL46" s="499"/>
      <c r="PM46" s="499"/>
      <c r="PN46" s="499"/>
      <c r="PO46" s="499"/>
      <c r="PP46" s="499"/>
      <c r="PQ46" s="499"/>
      <c r="PR46" s="499"/>
      <c r="PS46" s="499"/>
      <c r="PT46" s="499"/>
      <c r="PU46" s="499"/>
      <c r="PV46" s="499"/>
      <c r="PW46" s="499"/>
      <c r="PX46" s="499"/>
      <c r="PY46" s="499"/>
      <c r="PZ46" s="499"/>
      <c r="QA46" s="499"/>
      <c r="QB46" s="499"/>
      <c r="QC46" s="499"/>
      <c r="QD46" s="499"/>
      <c r="QE46" s="499"/>
      <c r="QF46" s="499"/>
      <c r="QG46" s="499"/>
      <c r="QH46" s="499"/>
      <c r="QI46" s="499"/>
      <c r="QJ46" s="499"/>
      <c r="QK46" s="499"/>
      <c r="QL46" s="499"/>
      <c r="QM46" s="499"/>
      <c r="QN46" s="499"/>
      <c r="QO46" s="499"/>
      <c r="QP46" s="499"/>
      <c r="QQ46" s="499"/>
      <c r="QR46" s="499"/>
      <c r="QS46" s="499"/>
      <c r="QT46" s="499"/>
      <c r="QU46" s="499"/>
      <c r="QV46" s="499"/>
      <c r="QW46" s="499"/>
      <c r="QX46" s="499"/>
      <c r="QY46" s="499"/>
      <c r="QZ46" s="499"/>
      <c r="RA46" s="499"/>
      <c r="RB46" s="499"/>
      <c r="RC46" s="499"/>
      <c r="RD46" s="499"/>
      <c r="RE46" s="499"/>
      <c r="RF46" s="499"/>
      <c r="RG46" s="499"/>
      <c r="RH46" s="499"/>
      <c r="RI46" s="499"/>
      <c r="RJ46" s="499"/>
      <c r="RK46" s="499"/>
      <c r="RL46" s="499"/>
      <c r="RM46" s="499"/>
      <c r="RN46" s="499"/>
      <c r="RO46" s="499"/>
      <c r="RP46" s="499"/>
      <c r="RQ46" s="499"/>
      <c r="RR46" s="499"/>
      <c r="RS46" s="499"/>
      <c r="RT46" s="499"/>
      <c r="RU46" s="499"/>
      <c r="RV46" s="499"/>
      <c r="RW46" s="499"/>
      <c r="RX46" s="499"/>
      <c r="RY46" s="499"/>
      <c r="RZ46" s="499"/>
      <c r="SA46" s="499"/>
      <c r="SB46" s="499"/>
      <c r="SC46" s="499"/>
      <c r="SD46" s="499"/>
      <c r="SE46" s="499"/>
      <c r="SF46" s="499"/>
      <c r="SG46" s="499"/>
      <c r="SH46" s="499"/>
      <c r="SI46" s="499"/>
      <c r="SJ46" s="499"/>
      <c r="SK46" s="499"/>
      <c r="SL46" s="499"/>
      <c r="SM46" s="499"/>
      <c r="SN46" s="499"/>
      <c r="SO46" s="499"/>
      <c r="SP46" s="499"/>
      <c r="SQ46" s="499"/>
      <c r="SR46" s="499"/>
      <c r="SS46" s="499"/>
      <c r="ST46" s="499"/>
      <c r="SU46" s="499"/>
      <c r="SV46" s="499"/>
      <c r="SW46" s="499"/>
      <c r="SX46" s="499"/>
      <c r="SY46" s="499"/>
      <c r="SZ46" s="499"/>
      <c r="TA46" s="499"/>
      <c r="TB46" s="499"/>
      <c r="TC46" s="499"/>
      <c r="TD46" s="499"/>
      <c r="TE46" s="499"/>
      <c r="TF46" s="499"/>
      <c r="TG46" s="499"/>
      <c r="TH46" s="499"/>
      <c r="TI46" s="499"/>
      <c r="TJ46" s="499"/>
      <c r="TK46" s="499"/>
      <c r="TL46" s="499"/>
      <c r="TM46" s="499"/>
      <c r="TN46" s="499"/>
      <c r="TO46" s="499"/>
      <c r="TP46" s="499"/>
      <c r="TQ46" s="499"/>
      <c r="TR46" s="499"/>
      <c r="TS46" s="499"/>
      <c r="TT46" s="499"/>
      <c r="TU46" s="499"/>
      <c r="TV46" s="499"/>
      <c r="TW46" s="499"/>
      <c r="TX46" s="499"/>
      <c r="TY46" s="499"/>
      <c r="TZ46" s="499"/>
      <c r="UA46" s="499"/>
      <c r="UB46" s="499"/>
      <c r="UC46" s="499"/>
      <c r="UD46" s="499"/>
      <c r="UE46" s="499"/>
      <c r="UF46" s="499"/>
      <c r="UG46" s="499"/>
      <c r="UH46" s="499"/>
      <c r="UI46" s="499"/>
      <c r="UJ46" s="499"/>
      <c r="UK46" s="499"/>
      <c r="UL46" s="499"/>
      <c r="UM46" s="499"/>
      <c r="UN46" s="499"/>
      <c r="UO46" s="499"/>
      <c r="UP46" s="499"/>
      <c r="UQ46" s="499"/>
      <c r="UR46" s="499"/>
      <c r="US46" s="499"/>
      <c r="UT46" s="499"/>
      <c r="UU46" s="499"/>
      <c r="UV46" s="499"/>
      <c r="UW46" s="499"/>
      <c r="UX46" s="499"/>
      <c r="UY46" s="499"/>
      <c r="UZ46" s="499"/>
      <c r="VA46" s="499"/>
      <c r="VB46" s="499"/>
      <c r="VC46" s="499"/>
      <c r="VD46" s="499"/>
      <c r="VE46" s="499"/>
      <c r="VF46" s="499"/>
      <c r="VG46" s="499"/>
      <c r="VH46" s="499"/>
      <c r="VI46" s="499"/>
      <c r="VJ46" s="499"/>
      <c r="VK46" s="499"/>
      <c r="VL46" s="499"/>
      <c r="VM46" s="499"/>
      <c r="VN46" s="499"/>
      <c r="VO46" s="499"/>
      <c r="VP46" s="499"/>
      <c r="VQ46" s="499"/>
      <c r="VR46" s="499"/>
      <c r="VS46" s="499"/>
      <c r="VT46" s="499"/>
      <c r="VU46" s="499"/>
      <c r="VV46" s="499"/>
      <c r="VW46" s="499"/>
      <c r="VX46" s="499"/>
      <c r="VY46" s="499"/>
      <c r="VZ46" s="499"/>
      <c r="WA46" s="499"/>
      <c r="WB46" s="499"/>
      <c r="WC46" s="499"/>
      <c r="WD46" s="499"/>
      <c r="WE46" s="499"/>
      <c r="WF46" s="499"/>
    </row>
    <row r="47" spans="1:604" s="498" customFormat="1" ht="63" x14ac:dyDescent="0.2">
      <c r="A47" s="486"/>
      <c r="B47" s="486"/>
      <c r="C47" s="450" t="s">
        <v>708</v>
      </c>
      <c r="D47" s="440" t="s">
        <v>192</v>
      </c>
      <c r="E47" s="440">
        <v>92824</v>
      </c>
      <c r="F47" s="442" t="s">
        <v>443</v>
      </c>
      <c r="G47" s="437">
        <f>'MC-DRE'!R38</f>
        <v>275</v>
      </c>
      <c r="H47" s="438" t="s">
        <v>3</v>
      </c>
      <c r="I47" s="479">
        <v>88.56</v>
      </c>
      <c r="J47" s="439">
        <f t="shared" si="1"/>
        <v>112.88</v>
      </c>
      <c r="K47" s="476">
        <f t="shared" si="2"/>
        <v>31042</v>
      </c>
      <c r="L47" s="478"/>
      <c r="M47" s="478"/>
      <c r="N47" s="499"/>
      <c r="O47" s="499"/>
      <c r="P47" s="499"/>
      <c r="AE47" s="499"/>
      <c r="AF47" s="499"/>
      <c r="AG47" s="499"/>
      <c r="AH47" s="499"/>
      <c r="AI47" s="499"/>
      <c r="AJ47" s="499"/>
      <c r="AK47" s="499"/>
      <c r="AL47" s="499"/>
      <c r="AM47" s="499"/>
      <c r="AN47" s="499"/>
      <c r="AO47" s="499"/>
      <c r="AP47" s="499"/>
      <c r="AQ47" s="499"/>
      <c r="AR47" s="499"/>
      <c r="AS47" s="499"/>
      <c r="AT47" s="499"/>
      <c r="AU47" s="499"/>
      <c r="AV47" s="499"/>
      <c r="AW47" s="499"/>
      <c r="AX47" s="499"/>
      <c r="AY47" s="499"/>
      <c r="AZ47" s="499"/>
      <c r="BA47" s="499"/>
      <c r="BB47" s="499"/>
      <c r="BC47" s="499"/>
      <c r="BD47" s="499"/>
      <c r="BE47" s="499"/>
      <c r="BF47" s="499"/>
      <c r="BG47" s="499"/>
      <c r="BH47" s="499"/>
      <c r="BI47" s="499"/>
      <c r="BJ47" s="499"/>
      <c r="BK47" s="499"/>
      <c r="BL47" s="499"/>
      <c r="BM47" s="499"/>
      <c r="BN47" s="499"/>
      <c r="BO47" s="499"/>
      <c r="BP47" s="499"/>
      <c r="BQ47" s="499"/>
      <c r="BR47" s="499"/>
      <c r="BS47" s="499"/>
      <c r="BT47" s="499"/>
      <c r="BU47" s="499"/>
      <c r="BV47" s="499"/>
      <c r="BW47" s="499"/>
      <c r="BX47" s="499"/>
      <c r="BY47" s="499"/>
      <c r="BZ47" s="499"/>
      <c r="CA47" s="499"/>
      <c r="CB47" s="499"/>
      <c r="CC47" s="499"/>
      <c r="CD47" s="499"/>
      <c r="CE47" s="499"/>
      <c r="CF47" s="499"/>
      <c r="CG47" s="499"/>
      <c r="CH47" s="499"/>
      <c r="CI47" s="499"/>
      <c r="CJ47" s="499"/>
      <c r="CK47" s="499"/>
      <c r="CL47" s="499"/>
      <c r="CM47" s="499"/>
      <c r="CN47" s="499"/>
      <c r="CO47" s="499"/>
      <c r="CP47" s="499"/>
      <c r="CQ47" s="499"/>
      <c r="CR47" s="499"/>
      <c r="CS47" s="499"/>
      <c r="CT47" s="499"/>
      <c r="CU47" s="499"/>
      <c r="CV47" s="499"/>
      <c r="CW47" s="499"/>
      <c r="CX47" s="499"/>
      <c r="CY47" s="499"/>
      <c r="CZ47" s="499"/>
      <c r="DA47" s="499"/>
      <c r="DB47" s="499"/>
      <c r="DC47" s="499"/>
      <c r="DD47" s="499"/>
      <c r="DE47" s="499"/>
      <c r="DF47" s="499"/>
      <c r="DG47" s="499"/>
      <c r="DH47" s="499"/>
      <c r="DI47" s="499"/>
      <c r="DJ47" s="499"/>
      <c r="DK47" s="499"/>
      <c r="DL47" s="499"/>
      <c r="DM47" s="499"/>
      <c r="DN47" s="499"/>
      <c r="DO47" s="499"/>
      <c r="DP47" s="499"/>
      <c r="DQ47" s="499"/>
      <c r="DR47" s="499"/>
      <c r="DS47" s="499"/>
      <c r="DT47" s="499"/>
      <c r="DU47" s="499"/>
      <c r="DV47" s="499"/>
      <c r="DW47" s="499"/>
      <c r="DX47" s="499"/>
      <c r="DY47" s="499"/>
      <c r="DZ47" s="499"/>
      <c r="EA47" s="499"/>
      <c r="EB47" s="499"/>
      <c r="EC47" s="499"/>
      <c r="ED47" s="499"/>
      <c r="EE47" s="499"/>
      <c r="EF47" s="499"/>
      <c r="EG47" s="499"/>
      <c r="EH47" s="499"/>
      <c r="EI47" s="499"/>
      <c r="EJ47" s="499"/>
      <c r="EK47" s="499"/>
      <c r="EL47" s="499"/>
      <c r="EM47" s="499"/>
      <c r="EN47" s="499"/>
      <c r="EO47" s="499"/>
      <c r="EP47" s="499"/>
      <c r="EQ47" s="499"/>
      <c r="ER47" s="499"/>
      <c r="ES47" s="499"/>
      <c r="ET47" s="499"/>
      <c r="EU47" s="499"/>
      <c r="EV47" s="499"/>
      <c r="EW47" s="499"/>
      <c r="EX47" s="499"/>
      <c r="EY47" s="499"/>
      <c r="EZ47" s="499"/>
      <c r="FA47" s="499"/>
      <c r="FB47" s="499"/>
      <c r="FC47" s="499"/>
      <c r="FD47" s="499"/>
      <c r="FE47" s="499"/>
      <c r="FF47" s="499"/>
      <c r="FG47" s="499"/>
      <c r="FH47" s="499"/>
      <c r="FI47" s="499"/>
      <c r="FJ47" s="499"/>
      <c r="FK47" s="499"/>
      <c r="FL47" s="499"/>
      <c r="FM47" s="499"/>
      <c r="FN47" s="499"/>
      <c r="FO47" s="499"/>
      <c r="FP47" s="499"/>
      <c r="FQ47" s="499"/>
      <c r="FR47" s="499"/>
      <c r="FS47" s="499"/>
      <c r="FT47" s="499"/>
      <c r="FU47" s="499"/>
      <c r="FV47" s="499"/>
      <c r="FW47" s="499"/>
      <c r="FX47" s="499"/>
      <c r="FY47" s="499"/>
      <c r="FZ47" s="499"/>
      <c r="GA47" s="499"/>
      <c r="GB47" s="499"/>
      <c r="GC47" s="499"/>
      <c r="GD47" s="499"/>
      <c r="GE47" s="499"/>
      <c r="GF47" s="499"/>
      <c r="GG47" s="499"/>
      <c r="GH47" s="499"/>
      <c r="GI47" s="499"/>
      <c r="GJ47" s="499"/>
      <c r="GK47" s="499"/>
      <c r="GL47" s="499"/>
      <c r="GM47" s="499"/>
      <c r="GN47" s="499"/>
      <c r="GO47" s="499"/>
      <c r="GP47" s="499"/>
      <c r="GQ47" s="499"/>
      <c r="GR47" s="499"/>
      <c r="GS47" s="499"/>
      <c r="GT47" s="499"/>
      <c r="GU47" s="499"/>
      <c r="GV47" s="499"/>
      <c r="GW47" s="499"/>
      <c r="GX47" s="499"/>
      <c r="GY47" s="499"/>
      <c r="GZ47" s="499"/>
      <c r="HA47" s="499"/>
      <c r="HB47" s="499"/>
      <c r="HC47" s="499"/>
      <c r="HD47" s="499"/>
      <c r="HE47" s="499"/>
      <c r="HF47" s="499"/>
      <c r="HG47" s="499"/>
      <c r="HH47" s="499"/>
      <c r="HI47" s="499"/>
      <c r="HJ47" s="499"/>
      <c r="HK47" s="499"/>
      <c r="HL47" s="499"/>
      <c r="HM47" s="499"/>
      <c r="HN47" s="499"/>
      <c r="HO47" s="499"/>
      <c r="HP47" s="499"/>
      <c r="HQ47" s="499"/>
      <c r="HR47" s="499"/>
      <c r="HS47" s="499"/>
      <c r="HT47" s="499"/>
      <c r="HU47" s="499"/>
      <c r="HV47" s="499"/>
      <c r="HW47" s="499"/>
      <c r="HX47" s="499"/>
      <c r="HY47" s="499"/>
      <c r="HZ47" s="499"/>
      <c r="IA47" s="499"/>
      <c r="IB47" s="499"/>
      <c r="IC47" s="499"/>
      <c r="ID47" s="499"/>
      <c r="IE47" s="499"/>
      <c r="IF47" s="499"/>
      <c r="IG47" s="499"/>
      <c r="IH47" s="499"/>
      <c r="II47" s="499"/>
      <c r="IJ47" s="499"/>
      <c r="IK47" s="499"/>
      <c r="IL47" s="499"/>
      <c r="IM47" s="499"/>
      <c r="IN47" s="499"/>
      <c r="IO47" s="499"/>
      <c r="IP47" s="499"/>
      <c r="IQ47" s="499"/>
      <c r="IR47" s="499"/>
      <c r="IS47" s="499"/>
      <c r="IT47" s="499"/>
      <c r="IU47" s="499"/>
      <c r="IV47" s="499"/>
      <c r="IW47" s="499"/>
      <c r="IX47" s="499"/>
      <c r="IY47" s="499"/>
      <c r="IZ47" s="499"/>
      <c r="JA47" s="499"/>
      <c r="JB47" s="499"/>
      <c r="JC47" s="499"/>
      <c r="JD47" s="499"/>
      <c r="JE47" s="499"/>
      <c r="JF47" s="499"/>
      <c r="JG47" s="499"/>
      <c r="JH47" s="499"/>
      <c r="JI47" s="499"/>
      <c r="JJ47" s="499"/>
      <c r="JK47" s="499"/>
      <c r="JL47" s="499"/>
      <c r="JM47" s="499"/>
      <c r="JN47" s="499"/>
      <c r="JO47" s="499"/>
      <c r="JP47" s="499"/>
      <c r="JQ47" s="499"/>
      <c r="JR47" s="499"/>
      <c r="JS47" s="499"/>
      <c r="JT47" s="499"/>
      <c r="JU47" s="499"/>
      <c r="JV47" s="499"/>
      <c r="JW47" s="499"/>
      <c r="JX47" s="499"/>
      <c r="JY47" s="499"/>
      <c r="JZ47" s="499"/>
      <c r="KA47" s="499"/>
      <c r="KB47" s="499"/>
      <c r="KC47" s="499"/>
      <c r="KD47" s="499"/>
      <c r="KE47" s="499"/>
      <c r="KF47" s="499"/>
      <c r="KG47" s="499"/>
      <c r="KH47" s="499"/>
      <c r="KI47" s="499"/>
      <c r="KJ47" s="499"/>
      <c r="KK47" s="499"/>
      <c r="KL47" s="499"/>
      <c r="KM47" s="499"/>
      <c r="KN47" s="499"/>
      <c r="KO47" s="499"/>
      <c r="KP47" s="499"/>
      <c r="KQ47" s="499"/>
      <c r="KR47" s="499"/>
      <c r="KS47" s="499"/>
      <c r="KT47" s="499"/>
      <c r="KU47" s="499"/>
      <c r="KV47" s="499"/>
      <c r="KW47" s="499"/>
      <c r="KX47" s="499"/>
      <c r="KY47" s="499"/>
      <c r="KZ47" s="499"/>
      <c r="LA47" s="499"/>
      <c r="LB47" s="499"/>
      <c r="LC47" s="499"/>
      <c r="LD47" s="499"/>
      <c r="LE47" s="499"/>
      <c r="LF47" s="499"/>
      <c r="LG47" s="499"/>
      <c r="LH47" s="499"/>
      <c r="LI47" s="499"/>
      <c r="LJ47" s="499"/>
      <c r="LK47" s="499"/>
      <c r="LL47" s="499"/>
      <c r="LM47" s="499"/>
      <c r="LN47" s="499"/>
      <c r="LO47" s="499"/>
      <c r="LP47" s="499"/>
      <c r="LQ47" s="499"/>
      <c r="LR47" s="499"/>
      <c r="LS47" s="499"/>
      <c r="LT47" s="499"/>
      <c r="LU47" s="499"/>
      <c r="LV47" s="499"/>
      <c r="LW47" s="499"/>
      <c r="LX47" s="499"/>
      <c r="LY47" s="499"/>
      <c r="LZ47" s="499"/>
      <c r="MA47" s="499"/>
      <c r="MB47" s="499"/>
      <c r="MC47" s="499"/>
      <c r="MD47" s="499"/>
      <c r="ME47" s="499"/>
      <c r="MF47" s="499"/>
      <c r="MG47" s="499"/>
      <c r="MH47" s="499"/>
      <c r="MI47" s="499"/>
      <c r="MJ47" s="499"/>
      <c r="MK47" s="499"/>
      <c r="ML47" s="499"/>
      <c r="MM47" s="499"/>
      <c r="MN47" s="499"/>
      <c r="MO47" s="499"/>
      <c r="MP47" s="499"/>
      <c r="MQ47" s="499"/>
      <c r="MR47" s="499"/>
      <c r="MS47" s="499"/>
      <c r="MT47" s="499"/>
      <c r="MU47" s="499"/>
      <c r="MV47" s="499"/>
      <c r="MW47" s="499"/>
      <c r="MX47" s="499"/>
      <c r="MY47" s="499"/>
      <c r="MZ47" s="499"/>
      <c r="NA47" s="499"/>
      <c r="NB47" s="499"/>
      <c r="NC47" s="499"/>
      <c r="ND47" s="499"/>
      <c r="NE47" s="499"/>
      <c r="NF47" s="499"/>
      <c r="NG47" s="499"/>
      <c r="NH47" s="499"/>
      <c r="NI47" s="499"/>
      <c r="NJ47" s="499"/>
      <c r="NK47" s="499"/>
      <c r="NL47" s="499"/>
      <c r="NM47" s="499"/>
      <c r="NN47" s="499"/>
      <c r="NO47" s="499"/>
      <c r="NP47" s="499"/>
      <c r="NQ47" s="499"/>
      <c r="NR47" s="499"/>
      <c r="NS47" s="499"/>
      <c r="NT47" s="499"/>
      <c r="NU47" s="499"/>
      <c r="NV47" s="499"/>
      <c r="NW47" s="499"/>
      <c r="NX47" s="499"/>
      <c r="NY47" s="499"/>
      <c r="NZ47" s="499"/>
      <c r="OA47" s="499"/>
      <c r="OB47" s="499"/>
      <c r="OC47" s="499"/>
      <c r="OD47" s="499"/>
      <c r="OE47" s="499"/>
      <c r="OF47" s="499"/>
      <c r="OG47" s="499"/>
      <c r="OH47" s="499"/>
      <c r="OI47" s="499"/>
      <c r="OJ47" s="499"/>
      <c r="OK47" s="499"/>
      <c r="OL47" s="499"/>
      <c r="OM47" s="499"/>
      <c r="ON47" s="499"/>
      <c r="OO47" s="499"/>
      <c r="OP47" s="499"/>
      <c r="OQ47" s="499"/>
      <c r="OR47" s="499"/>
      <c r="OS47" s="499"/>
      <c r="OT47" s="499"/>
      <c r="OU47" s="499"/>
      <c r="OV47" s="499"/>
      <c r="OW47" s="499"/>
      <c r="OX47" s="499"/>
      <c r="OY47" s="499"/>
      <c r="OZ47" s="499"/>
      <c r="PA47" s="499"/>
      <c r="PB47" s="499"/>
      <c r="PC47" s="499"/>
      <c r="PD47" s="499"/>
      <c r="PE47" s="499"/>
      <c r="PF47" s="499"/>
      <c r="PG47" s="499"/>
      <c r="PH47" s="499"/>
      <c r="PI47" s="499"/>
      <c r="PJ47" s="499"/>
      <c r="PK47" s="499"/>
      <c r="PL47" s="499"/>
      <c r="PM47" s="499"/>
      <c r="PN47" s="499"/>
      <c r="PO47" s="499"/>
      <c r="PP47" s="499"/>
      <c r="PQ47" s="499"/>
      <c r="PR47" s="499"/>
      <c r="PS47" s="499"/>
      <c r="PT47" s="499"/>
      <c r="PU47" s="499"/>
      <c r="PV47" s="499"/>
      <c r="PW47" s="499"/>
      <c r="PX47" s="499"/>
      <c r="PY47" s="499"/>
      <c r="PZ47" s="499"/>
      <c r="QA47" s="499"/>
      <c r="QB47" s="499"/>
      <c r="QC47" s="499"/>
      <c r="QD47" s="499"/>
      <c r="QE47" s="499"/>
      <c r="QF47" s="499"/>
      <c r="QG47" s="499"/>
      <c r="QH47" s="499"/>
      <c r="QI47" s="499"/>
      <c r="QJ47" s="499"/>
      <c r="QK47" s="499"/>
      <c r="QL47" s="499"/>
      <c r="QM47" s="499"/>
      <c r="QN47" s="499"/>
      <c r="QO47" s="499"/>
      <c r="QP47" s="499"/>
      <c r="QQ47" s="499"/>
      <c r="QR47" s="499"/>
      <c r="QS47" s="499"/>
      <c r="QT47" s="499"/>
      <c r="QU47" s="499"/>
      <c r="QV47" s="499"/>
      <c r="QW47" s="499"/>
      <c r="QX47" s="499"/>
      <c r="QY47" s="499"/>
      <c r="QZ47" s="499"/>
      <c r="RA47" s="499"/>
      <c r="RB47" s="499"/>
      <c r="RC47" s="499"/>
      <c r="RD47" s="499"/>
      <c r="RE47" s="499"/>
      <c r="RF47" s="499"/>
      <c r="RG47" s="499"/>
      <c r="RH47" s="499"/>
      <c r="RI47" s="499"/>
      <c r="RJ47" s="499"/>
      <c r="RK47" s="499"/>
      <c r="RL47" s="499"/>
      <c r="RM47" s="499"/>
      <c r="RN47" s="499"/>
      <c r="RO47" s="499"/>
      <c r="RP47" s="499"/>
      <c r="RQ47" s="499"/>
      <c r="RR47" s="499"/>
      <c r="RS47" s="499"/>
      <c r="RT47" s="499"/>
      <c r="RU47" s="499"/>
      <c r="RV47" s="499"/>
      <c r="RW47" s="499"/>
      <c r="RX47" s="499"/>
      <c r="RY47" s="499"/>
      <c r="RZ47" s="499"/>
      <c r="SA47" s="499"/>
      <c r="SB47" s="499"/>
      <c r="SC47" s="499"/>
      <c r="SD47" s="499"/>
      <c r="SE47" s="499"/>
      <c r="SF47" s="499"/>
      <c r="SG47" s="499"/>
      <c r="SH47" s="499"/>
      <c r="SI47" s="499"/>
      <c r="SJ47" s="499"/>
      <c r="SK47" s="499"/>
      <c r="SL47" s="499"/>
      <c r="SM47" s="499"/>
      <c r="SN47" s="499"/>
      <c r="SO47" s="499"/>
      <c r="SP47" s="499"/>
      <c r="SQ47" s="499"/>
      <c r="SR47" s="499"/>
      <c r="SS47" s="499"/>
      <c r="ST47" s="499"/>
      <c r="SU47" s="499"/>
      <c r="SV47" s="499"/>
      <c r="SW47" s="499"/>
      <c r="SX47" s="499"/>
      <c r="SY47" s="499"/>
      <c r="SZ47" s="499"/>
      <c r="TA47" s="499"/>
      <c r="TB47" s="499"/>
      <c r="TC47" s="499"/>
      <c r="TD47" s="499"/>
      <c r="TE47" s="499"/>
      <c r="TF47" s="499"/>
      <c r="TG47" s="499"/>
      <c r="TH47" s="499"/>
      <c r="TI47" s="499"/>
      <c r="TJ47" s="499"/>
      <c r="TK47" s="499"/>
      <c r="TL47" s="499"/>
      <c r="TM47" s="499"/>
      <c r="TN47" s="499"/>
      <c r="TO47" s="499"/>
      <c r="TP47" s="499"/>
      <c r="TQ47" s="499"/>
      <c r="TR47" s="499"/>
      <c r="TS47" s="499"/>
      <c r="TT47" s="499"/>
      <c r="TU47" s="499"/>
      <c r="TV47" s="499"/>
      <c r="TW47" s="499"/>
      <c r="TX47" s="499"/>
      <c r="TY47" s="499"/>
      <c r="TZ47" s="499"/>
      <c r="UA47" s="499"/>
      <c r="UB47" s="499"/>
      <c r="UC47" s="499"/>
      <c r="UD47" s="499"/>
      <c r="UE47" s="499"/>
      <c r="UF47" s="499"/>
      <c r="UG47" s="499"/>
      <c r="UH47" s="499"/>
      <c r="UI47" s="499"/>
      <c r="UJ47" s="499"/>
      <c r="UK47" s="499"/>
      <c r="UL47" s="499"/>
      <c r="UM47" s="499"/>
      <c r="UN47" s="499"/>
      <c r="UO47" s="499"/>
      <c r="UP47" s="499"/>
      <c r="UQ47" s="499"/>
      <c r="UR47" s="499"/>
      <c r="US47" s="499"/>
      <c r="UT47" s="499"/>
      <c r="UU47" s="499"/>
      <c r="UV47" s="499"/>
      <c r="UW47" s="499"/>
      <c r="UX47" s="499"/>
      <c r="UY47" s="499"/>
      <c r="UZ47" s="499"/>
      <c r="VA47" s="499"/>
      <c r="VB47" s="499"/>
      <c r="VC47" s="499"/>
      <c r="VD47" s="499"/>
      <c r="VE47" s="499"/>
      <c r="VF47" s="499"/>
      <c r="VG47" s="499"/>
      <c r="VH47" s="499"/>
      <c r="VI47" s="499"/>
      <c r="VJ47" s="499"/>
      <c r="VK47" s="499"/>
      <c r="VL47" s="499"/>
      <c r="VM47" s="499"/>
      <c r="VN47" s="499"/>
      <c r="VO47" s="499"/>
      <c r="VP47" s="499"/>
      <c r="VQ47" s="499"/>
      <c r="VR47" s="499"/>
      <c r="VS47" s="499"/>
      <c r="VT47" s="499"/>
      <c r="VU47" s="499"/>
      <c r="VV47" s="499"/>
      <c r="VW47" s="499"/>
      <c r="VX47" s="499"/>
      <c r="VY47" s="499"/>
      <c r="VZ47" s="499"/>
      <c r="WA47" s="499"/>
      <c r="WB47" s="499"/>
      <c r="WC47" s="499"/>
      <c r="WD47" s="499"/>
      <c r="WE47" s="499"/>
      <c r="WF47" s="499"/>
    </row>
    <row r="48" spans="1:604" ht="45" hidden="1" customHeight="1" x14ac:dyDescent="0.2">
      <c r="A48" s="486"/>
      <c r="B48" s="486"/>
      <c r="C48" s="497" t="s">
        <v>643</v>
      </c>
      <c r="D48" s="487" t="s">
        <v>190</v>
      </c>
      <c r="E48" s="447" t="s">
        <v>231</v>
      </c>
      <c r="F48" s="448" t="s">
        <v>246</v>
      </c>
      <c r="G48" s="437">
        <f>'MC-DRE'!E54</f>
        <v>0</v>
      </c>
      <c r="H48" s="440" t="s">
        <v>328</v>
      </c>
      <c r="I48" s="479">
        <v>423.97</v>
      </c>
      <c r="J48" s="439">
        <f t="shared" si="1"/>
        <v>540.39</v>
      </c>
      <c r="K48" s="476">
        <f t="shared" si="2"/>
        <v>0</v>
      </c>
      <c r="L48" s="446"/>
      <c r="M48" s="446"/>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4"/>
      <c r="BD48" s="444"/>
      <c r="BE48" s="444"/>
      <c r="BF48" s="444"/>
      <c r="BG48" s="444"/>
      <c r="BH48" s="444"/>
      <c r="BI48" s="444"/>
      <c r="BJ48" s="444"/>
      <c r="BK48" s="444"/>
      <c r="BL48" s="444"/>
      <c r="BM48" s="444"/>
      <c r="BN48" s="444"/>
      <c r="BO48" s="444"/>
      <c r="BP48" s="444"/>
      <c r="BQ48" s="444"/>
      <c r="BR48" s="444"/>
      <c r="BS48" s="444"/>
      <c r="BT48" s="444"/>
      <c r="BU48" s="444"/>
      <c r="BV48" s="444"/>
      <c r="BW48" s="444"/>
      <c r="BX48" s="444"/>
      <c r="BY48" s="444"/>
      <c r="BZ48" s="444"/>
      <c r="CA48" s="444"/>
      <c r="CB48" s="444"/>
      <c r="CC48" s="444"/>
      <c r="CD48" s="444"/>
      <c r="CE48" s="444"/>
      <c r="CF48" s="444"/>
      <c r="CG48" s="444"/>
      <c r="CH48" s="444"/>
      <c r="CI48" s="444"/>
      <c r="CJ48" s="444"/>
      <c r="CK48" s="444"/>
      <c r="CL48" s="444"/>
      <c r="CM48" s="444"/>
      <c r="CN48" s="444"/>
      <c r="CO48" s="444"/>
      <c r="CP48" s="444"/>
      <c r="CQ48" s="444"/>
      <c r="CR48" s="444"/>
      <c r="CS48" s="444"/>
      <c r="CT48" s="444"/>
      <c r="CU48" s="444"/>
      <c r="CV48" s="444"/>
      <c r="CW48" s="444"/>
      <c r="CX48" s="444"/>
      <c r="CY48" s="444"/>
      <c r="CZ48" s="444"/>
      <c r="DA48" s="444"/>
      <c r="DB48" s="444"/>
      <c r="DC48" s="444"/>
      <c r="DD48" s="444"/>
      <c r="DE48" s="444"/>
      <c r="DF48" s="444"/>
      <c r="DG48" s="444"/>
      <c r="DH48" s="444"/>
      <c r="DI48" s="444"/>
      <c r="DJ48" s="444"/>
      <c r="DK48" s="444"/>
      <c r="DL48" s="444"/>
      <c r="DM48" s="444"/>
      <c r="DN48" s="444"/>
      <c r="DO48" s="444"/>
      <c r="DP48" s="444"/>
      <c r="DQ48" s="444"/>
      <c r="DR48" s="444"/>
      <c r="DS48" s="444"/>
      <c r="DT48" s="444"/>
      <c r="DU48" s="444"/>
      <c r="DV48" s="444"/>
      <c r="DW48" s="444"/>
      <c r="DX48" s="444"/>
      <c r="DY48" s="444"/>
      <c r="DZ48" s="444"/>
      <c r="EA48" s="444"/>
      <c r="EB48" s="444"/>
      <c r="EC48" s="444"/>
      <c r="ED48" s="444"/>
      <c r="EE48" s="444"/>
      <c r="EF48" s="444"/>
      <c r="EG48" s="444"/>
      <c r="EH48" s="444"/>
      <c r="EI48" s="444"/>
      <c r="EJ48" s="444"/>
      <c r="EK48" s="444"/>
      <c r="EL48" s="444"/>
      <c r="EM48" s="444"/>
      <c r="EN48" s="444"/>
      <c r="EO48" s="444"/>
      <c r="EP48" s="444"/>
      <c r="EQ48" s="444"/>
      <c r="ER48" s="444"/>
      <c r="ES48" s="444"/>
      <c r="ET48" s="444"/>
      <c r="EU48" s="444"/>
      <c r="EV48" s="444"/>
      <c r="EW48" s="444"/>
      <c r="EX48" s="444"/>
      <c r="EY48" s="444"/>
      <c r="EZ48" s="444"/>
      <c r="FA48" s="444"/>
      <c r="FB48" s="444"/>
      <c r="FC48" s="444"/>
      <c r="FD48" s="444"/>
      <c r="FE48" s="444"/>
      <c r="FF48" s="444"/>
      <c r="FG48" s="444"/>
      <c r="FH48" s="444"/>
      <c r="FI48" s="444"/>
      <c r="FJ48" s="444"/>
      <c r="FK48" s="444"/>
      <c r="FL48" s="444"/>
      <c r="FM48" s="444"/>
      <c r="FN48" s="444"/>
      <c r="FO48" s="444"/>
      <c r="FP48" s="444"/>
      <c r="FQ48" s="444"/>
      <c r="FR48" s="444"/>
      <c r="FS48" s="444"/>
      <c r="FT48" s="444"/>
      <c r="FU48" s="444"/>
      <c r="FV48" s="444"/>
      <c r="FW48" s="444"/>
      <c r="FX48" s="444"/>
      <c r="FY48" s="444"/>
      <c r="FZ48" s="444"/>
      <c r="GA48" s="444"/>
      <c r="GB48" s="444"/>
      <c r="GC48" s="444"/>
      <c r="GD48" s="444"/>
      <c r="GE48" s="444"/>
      <c r="GF48" s="444"/>
      <c r="GG48" s="444"/>
      <c r="GH48" s="444"/>
      <c r="GI48" s="444"/>
      <c r="GJ48" s="444"/>
      <c r="GK48" s="444"/>
      <c r="GL48" s="444"/>
      <c r="GM48" s="444"/>
      <c r="GN48" s="444"/>
      <c r="GO48" s="444"/>
      <c r="GP48" s="444"/>
      <c r="GQ48" s="444"/>
      <c r="GR48" s="444"/>
      <c r="GS48" s="444"/>
      <c r="GT48" s="444"/>
      <c r="GU48" s="444"/>
      <c r="GV48" s="444"/>
      <c r="GW48" s="444"/>
      <c r="GX48" s="444"/>
      <c r="GY48" s="444"/>
      <c r="GZ48" s="444"/>
      <c r="HA48" s="444"/>
      <c r="HB48" s="444"/>
      <c r="HC48" s="444"/>
      <c r="HD48" s="444"/>
      <c r="HE48" s="444"/>
      <c r="HF48" s="444"/>
      <c r="HG48" s="444"/>
      <c r="HH48" s="444"/>
      <c r="HI48" s="444"/>
      <c r="HJ48" s="444"/>
      <c r="HK48" s="444"/>
      <c r="HL48" s="444"/>
      <c r="HM48" s="444"/>
      <c r="HN48" s="444"/>
      <c r="HO48" s="444"/>
      <c r="HP48" s="444"/>
      <c r="HQ48" s="444"/>
      <c r="HR48" s="444"/>
      <c r="HS48" s="444"/>
      <c r="HT48" s="444"/>
      <c r="HU48" s="444"/>
      <c r="HV48" s="444"/>
      <c r="HW48" s="444"/>
      <c r="HX48" s="444"/>
      <c r="HY48" s="444"/>
      <c r="HZ48" s="444"/>
      <c r="IA48" s="444"/>
      <c r="IB48" s="444"/>
      <c r="IC48" s="444"/>
      <c r="ID48" s="444"/>
      <c r="IE48" s="444"/>
      <c r="IF48" s="444"/>
      <c r="IG48" s="444"/>
      <c r="IH48" s="444"/>
      <c r="II48" s="444"/>
      <c r="IJ48" s="444"/>
      <c r="IK48" s="444"/>
      <c r="IL48" s="444"/>
      <c r="IM48" s="444"/>
      <c r="IN48" s="444"/>
      <c r="IO48" s="444"/>
      <c r="IP48" s="444"/>
      <c r="IQ48" s="444"/>
      <c r="IR48" s="444"/>
      <c r="IS48" s="444"/>
      <c r="IT48" s="444"/>
      <c r="IU48" s="444"/>
      <c r="IV48" s="444"/>
      <c r="IW48" s="444"/>
      <c r="IX48" s="444"/>
      <c r="IY48" s="444"/>
      <c r="IZ48" s="444"/>
      <c r="JA48" s="444"/>
      <c r="JB48" s="444"/>
      <c r="JC48" s="444"/>
      <c r="JD48" s="444"/>
      <c r="JE48" s="444"/>
      <c r="JF48" s="444"/>
      <c r="JG48" s="444"/>
      <c r="JH48" s="444"/>
      <c r="JI48" s="444"/>
      <c r="JJ48" s="444"/>
      <c r="JK48" s="444"/>
      <c r="JL48" s="444"/>
      <c r="JM48" s="444"/>
      <c r="JN48" s="444"/>
      <c r="JO48" s="444"/>
      <c r="JP48" s="444"/>
      <c r="JQ48" s="444"/>
      <c r="JR48" s="444"/>
      <c r="JS48" s="444"/>
      <c r="JT48" s="444"/>
      <c r="JU48" s="444"/>
      <c r="JV48" s="444"/>
      <c r="JW48" s="444"/>
      <c r="JX48" s="444"/>
      <c r="JY48" s="444"/>
      <c r="JZ48" s="444"/>
      <c r="KA48" s="444"/>
      <c r="KB48" s="444"/>
      <c r="KC48" s="444"/>
      <c r="KD48" s="444"/>
      <c r="KE48" s="444"/>
      <c r="KF48" s="444"/>
      <c r="KG48" s="444"/>
      <c r="KH48" s="444"/>
      <c r="KI48" s="444"/>
      <c r="KJ48" s="444"/>
      <c r="KK48" s="444"/>
      <c r="KL48" s="444"/>
      <c r="KM48" s="444"/>
      <c r="KN48" s="444"/>
      <c r="KO48" s="444"/>
      <c r="KP48" s="444"/>
      <c r="KQ48" s="444"/>
      <c r="KR48" s="444"/>
      <c r="KS48" s="444"/>
      <c r="KT48" s="444"/>
      <c r="KU48" s="444"/>
      <c r="KV48" s="444"/>
      <c r="KW48" s="444"/>
      <c r="KX48" s="444"/>
      <c r="KY48" s="444"/>
      <c r="KZ48" s="444"/>
      <c r="LA48" s="444"/>
      <c r="LB48" s="444"/>
      <c r="LC48" s="444"/>
      <c r="LD48" s="444"/>
      <c r="LE48" s="444"/>
      <c r="LF48" s="444"/>
      <c r="LG48" s="444"/>
      <c r="LH48" s="444"/>
      <c r="LI48" s="444"/>
      <c r="LJ48" s="444"/>
      <c r="LK48" s="444"/>
      <c r="LL48" s="444"/>
      <c r="LM48" s="444"/>
      <c r="LN48" s="444"/>
      <c r="LO48" s="444"/>
      <c r="LP48" s="444"/>
      <c r="LQ48" s="444"/>
      <c r="LR48" s="444"/>
      <c r="LS48" s="444"/>
      <c r="LT48" s="444"/>
      <c r="LU48" s="444"/>
      <c r="LV48" s="444"/>
      <c r="LW48" s="444"/>
      <c r="LX48" s="444"/>
      <c r="LY48" s="444"/>
      <c r="LZ48" s="444"/>
      <c r="MA48" s="444"/>
      <c r="MB48" s="444"/>
      <c r="MC48" s="444"/>
      <c r="MD48" s="444"/>
      <c r="ME48" s="444"/>
      <c r="MF48" s="444"/>
      <c r="MG48" s="444"/>
      <c r="MH48" s="444"/>
      <c r="MI48" s="444"/>
      <c r="MJ48" s="444"/>
      <c r="MK48" s="444"/>
      <c r="ML48" s="444"/>
      <c r="MM48" s="444"/>
      <c r="MN48" s="444"/>
      <c r="MO48" s="444"/>
      <c r="MP48" s="444"/>
      <c r="MQ48" s="444"/>
      <c r="MR48" s="444"/>
      <c r="MS48" s="444"/>
      <c r="MT48" s="444"/>
      <c r="MU48" s="444"/>
      <c r="MV48" s="444"/>
      <c r="MW48" s="444"/>
      <c r="MX48" s="444"/>
      <c r="MY48" s="444"/>
      <c r="MZ48" s="444"/>
      <c r="NA48" s="444"/>
      <c r="NB48" s="444"/>
      <c r="NC48" s="444"/>
      <c r="ND48" s="444"/>
      <c r="NE48" s="444"/>
      <c r="NF48" s="444"/>
      <c r="NG48" s="444"/>
      <c r="NH48" s="444"/>
      <c r="NI48" s="444"/>
      <c r="NJ48" s="444"/>
      <c r="NK48" s="444"/>
      <c r="NL48" s="444"/>
      <c r="NM48" s="444"/>
      <c r="NN48" s="444"/>
      <c r="NO48" s="444"/>
      <c r="NP48" s="444"/>
      <c r="NQ48" s="444"/>
      <c r="NR48" s="444"/>
      <c r="NS48" s="444"/>
      <c r="NT48" s="444"/>
      <c r="NU48" s="444"/>
      <c r="NV48" s="444"/>
      <c r="NW48" s="444"/>
      <c r="NX48" s="444"/>
      <c r="NY48" s="444"/>
      <c r="NZ48" s="444"/>
      <c r="OA48" s="444"/>
      <c r="OB48" s="444"/>
      <c r="OC48" s="444"/>
      <c r="OD48" s="444"/>
      <c r="OE48" s="444"/>
      <c r="OF48" s="444"/>
      <c r="OG48" s="444"/>
      <c r="OH48" s="444"/>
      <c r="OI48" s="444"/>
      <c r="OJ48" s="444"/>
      <c r="OK48" s="444"/>
      <c r="OL48" s="444"/>
      <c r="OM48" s="444"/>
      <c r="ON48" s="444"/>
      <c r="OO48" s="444"/>
      <c r="OP48" s="444"/>
      <c r="OQ48" s="444"/>
      <c r="OR48" s="444"/>
      <c r="OS48" s="444"/>
      <c r="OT48" s="444"/>
      <c r="OU48" s="444"/>
      <c r="OV48" s="444"/>
      <c r="OW48" s="444"/>
      <c r="OX48" s="444"/>
      <c r="OY48" s="444"/>
      <c r="OZ48" s="444"/>
      <c r="PA48" s="444"/>
      <c r="PB48" s="444"/>
      <c r="PC48" s="444"/>
      <c r="PD48" s="444"/>
      <c r="PE48" s="444"/>
      <c r="PF48" s="444"/>
      <c r="PG48" s="444"/>
      <c r="PH48" s="444"/>
      <c r="PI48" s="444"/>
      <c r="PJ48" s="444"/>
      <c r="PK48" s="444"/>
      <c r="PL48" s="444"/>
      <c r="PM48" s="444"/>
      <c r="PN48" s="444"/>
      <c r="PO48" s="444"/>
      <c r="PP48" s="444"/>
      <c r="PQ48" s="444"/>
      <c r="PR48" s="444"/>
      <c r="PS48" s="444"/>
      <c r="PT48" s="444"/>
      <c r="PU48" s="444"/>
      <c r="PV48" s="444"/>
      <c r="PW48" s="444"/>
      <c r="PX48" s="444"/>
      <c r="PY48" s="444"/>
      <c r="PZ48" s="444"/>
      <c r="QA48" s="444"/>
      <c r="QB48" s="444"/>
      <c r="QC48" s="444"/>
      <c r="QD48" s="444"/>
      <c r="QE48" s="444"/>
      <c r="QF48" s="444"/>
      <c r="QG48" s="444"/>
      <c r="QH48" s="444"/>
      <c r="QI48" s="444"/>
      <c r="QJ48" s="444"/>
      <c r="QK48" s="444"/>
      <c r="QL48" s="444"/>
      <c r="QM48" s="444"/>
      <c r="QN48" s="444"/>
      <c r="QO48" s="444"/>
      <c r="QP48" s="444"/>
      <c r="QQ48" s="444"/>
      <c r="QR48" s="444"/>
      <c r="QS48" s="444"/>
      <c r="QT48" s="444"/>
      <c r="QU48" s="444"/>
      <c r="QV48" s="444"/>
      <c r="QW48" s="444"/>
      <c r="QX48" s="444"/>
      <c r="QY48" s="444"/>
      <c r="QZ48" s="444"/>
      <c r="RA48" s="444"/>
      <c r="RB48" s="444"/>
      <c r="RC48" s="444"/>
      <c r="RD48" s="444"/>
      <c r="RE48" s="444"/>
      <c r="RF48" s="444"/>
      <c r="RG48" s="444"/>
      <c r="RH48" s="444"/>
      <c r="RI48" s="444"/>
      <c r="RJ48" s="444"/>
      <c r="RK48" s="444"/>
      <c r="RL48" s="444"/>
      <c r="RM48" s="444"/>
      <c r="RN48" s="444"/>
      <c r="RO48" s="444"/>
      <c r="RP48" s="444"/>
      <c r="RQ48" s="444"/>
      <c r="RR48" s="444"/>
      <c r="RS48" s="444"/>
      <c r="RT48" s="444"/>
      <c r="RU48" s="444"/>
      <c r="RV48" s="444"/>
      <c r="RW48" s="444"/>
      <c r="RX48" s="444"/>
      <c r="RY48" s="444"/>
      <c r="RZ48" s="444"/>
      <c r="SA48" s="444"/>
      <c r="SB48" s="444"/>
      <c r="SC48" s="444"/>
      <c r="SD48" s="444"/>
      <c r="SE48" s="444"/>
      <c r="SF48" s="444"/>
      <c r="SG48" s="444"/>
      <c r="SH48" s="444"/>
      <c r="SI48" s="444"/>
      <c r="SJ48" s="444"/>
      <c r="SK48" s="444"/>
      <c r="SL48" s="444"/>
      <c r="SM48" s="444"/>
      <c r="SN48" s="444"/>
      <c r="SO48" s="444"/>
      <c r="SP48" s="444"/>
      <c r="SQ48" s="444"/>
      <c r="SR48" s="444"/>
      <c r="SS48" s="444"/>
      <c r="ST48" s="444"/>
      <c r="SU48" s="444"/>
      <c r="SV48" s="444"/>
      <c r="SW48" s="444"/>
      <c r="SX48" s="444"/>
      <c r="SY48" s="444"/>
      <c r="SZ48" s="444"/>
      <c r="TA48" s="444"/>
      <c r="TB48" s="444"/>
      <c r="TC48" s="444"/>
      <c r="TD48" s="444"/>
      <c r="TE48" s="444"/>
      <c r="TF48" s="444"/>
      <c r="TG48" s="444"/>
      <c r="TH48" s="444"/>
      <c r="TI48" s="444"/>
      <c r="TJ48" s="444"/>
      <c r="TK48" s="444"/>
      <c r="TL48" s="444"/>
      <c r="TM48" s="444"/>
      <c r="TN48" s="444"/>
      <c r="TO48" s="444"/>
      <c r="TP48" s="444"/>
      <c r="TQ48" s="444"/>
      <c r="TR48" s="444"/>
      <c r="TS48" s="444"/>
      <c r="TT48" s="444"/>
      <c r="TU48" s="444"/>
      <c r="TV48" s="444"/>
      <c r="TW48" s="444"/>
      <c r="TX48" s="444"/>
      <c r="TY48" s="444"/>
      <c r="TZ48" s="444"/>
      <c r="UA48" s="444"/>
      <c r="UB48" s="444"/>
      <c r="UC48" s="444"/>
      <c r="UD48" s="444"/>
      <c r="UE48" s="444"/>
      <c r="UF48" s="444"/>
      <c r="UG48" s="444"/>
      <c r="UH48" s="444"/>
      <c r="UI48" s="444"/>
      <c r="UJ48" s="444"/>
      <c r="UK48" s="444"/>
      <c r="UL48" s="444"/>
      <c r="UM48" s="444"/>
      <c r="UN48" s="444"/>
      <c r="UO48" s="444"/>
      <c r="UP48" s="444"/>
      <c r="UQ48" s="444"/>
      <c r="UR48" s="444"/>
      <c r="US48" s="444"/>
      <c r="UT48" s="444"/>
      <c r="UU48" s="444"/>
      <c r="UV48" s="444"/>
      <c r="UW48" s="444"/>
      <c r="UX48" s="444"/>
      <c r="UY48" s="444"/>
      <c r="UZ48" s="444"/>
      <c r="VA48" s="444"/>
      <c r="VB48" s="444"/>
      <c r="VC48" s="444"/>
      <c r="VD48" s="444"/>
      <c r="VE48" s="444"/>
      <c r="VF48" s="444"/>
      <c r="VG48" s="444"/>
      <c r="VH48" s="444"/>
      <c r="VI48" s="444"/>
      <c r="VJ48" s="444"/>
      <c r="VK48" s="444"/>
      <c r="VL48" s="444"/>
      <c r="VM48" s="444"/>
      <c r="VN48" s="444"/>
      <c r="VO48" s="444"/>
      <c r="VP48" s="444"/>
      <c r="VQ48" s="444"/>
      <c r="VR48" s="444"/>
      <c r="VS48" s="444"/>
      <c r="VT48" s="444"/>
      <c r="VU48" s="444"/>
      <c r="VV48" s="444"/>
      <c r="VW48" s="444"/>
      <c r="VX48" s="444"/>
      <c r="VY48" s="444"/>
      <c r="VZ48" s="444"/>
      <c r="WA48" s="444"/>
      <c r="WB48" s="444"/>
      <c r="WC48" s="444"/>
      <c r="WD48" s="444"/>
      <c r="WE48" s="444"/>
      <c r="WF48" s="444"/>
    </row>
    <row r="49" spans="1:604" ht="45" hidden="1" customHeight="1" x14ac:dyDescent="0.2">
      <c r="A49" s="486"/>
      <c r="B49" s="486"/>
      <c r="C49" s="450" t="s">
        <v>644</v>
      </c>
      <c r="D49" s="450" t="s">
        <v>190</v>
      </c>
      <c r="E49" s="441" t="s">
        <v>501</v>
      </c>
      <c r="F49" s="442" t="s">
        <v>502</v>
      </c>
      <c r="G49" s="437">
        <f>'MC-DRE'!I54</f>
        <v>0</v>
      </c>
      <c r="H49" s="438" t="s">
        <v>0</v>
      </c>
      <c r="I49" s="479">
        <v>11.48</v>
      </c>
      <c r="J49" s="439">
        <f t="shared" si="1"/>
        <v>14.63</v>
      </c>
      <c r="K49" s="476">
        <f t="shared" si="2"/>
        <v>0</v>
      </c>
      <c r="L49" s="446"/>
      <c r="M49" s="446"/>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4"/>
      <c r="BD49" s="444"/>
      <c r="BE49" s="444"/>
      <c r="BF49" s="444"/>
      <c r="BG49" s="444"/>
      <c r="BH49" s="444"/>
      <c r="BI49" s="444"/>
      <c r="BJ49" s="444"/>
      <c r="BK49" s="444"/>
      <c r="BL49" s="444"/>
      <c r="BM49" s="444"/>
      <c r="BN49" s="444"/>
      <c r="BO49" s="444"/>
      <c r="BP49" s="444"/>
      <c r="BQ49" s="444"/>
      <c r="BR49" s="444"/>
      <c r="BS49" s="444"/>
      <c r="BT49" s="444"/>
      <c r="BU49" s="444"/>
      <c r="BV49" s="444"/>
      <c r="BW49" s="444"/>
      <c r="BX49" s="444"/>
      <c r="BY49" s="444"/>
      <c r="BZ49" s="444"/>
      <c r="CA49" s="444"/>
      <c r="CB49" s="444"/>
      <c r="CC49" s="444"/>
      <c r="CD49" s="444"/>
      <c r="CE49" s="444"/>
      <c r="CF49" s="444"/>
      <c r="CG49" s="444"/>
      <c r="CH49" s="444"/>
      <c r="CI49" s="444"/>
      <c r="CJ49" s="444"/>
      <c r="CK49" s="444"/>
      <c r="CL49" s="444"/>
      <c r="CM49" s="444"/>
      <c r="CN49" s="444"/>
      <c r="CO49" s="444"/>
      <c r="CP49" s="444"/>
      <c r="CQ49" s="444"/>
      <c r="CR49" s="444"/>
      <c r="CS49" s="444"/>
      <c r="CT49" s="444"/>
      <c r="CU49" s="444"/>
      <c r="CV49" s="444"/>
      <c r="CW49" s="444"/>
      <c r="CX49" s="444"/>
      <c r="CY49" s="444"/>
      <c r="CZ49" s="444"/>
      <c r="DA49" s="444"/>
      <c r="DB49" s="444"/>
      <c r="DC49" s="444"/>
      <c r="DD49" s="444"/>
      <c r="DE49" s="444"/>
      <c r="DF49" s="444"/>
      <c r="DG49" s="444"/>
      <c r="DH49" s="444"/>
      <c r="DI49" s="444"/>
      <c r="DJ49" s="444"/>
      <c r="DK49" s="444"/>
      <c r="DL49" s="444"/>
      <c r="DM49" s="444"/>
      <c r="DN49" s="444"/>
      <c r="DO49" s="444"/>
      <c r="DP49" s="444"/>
      <c r="DQ49" s="444"/>
      <c r="DR49" s="444"/>
      <c r="DS49" s="444"/>
      <c r="DT49" s="444"/>
      <c r="DU49" s="444"/>
      <c r="DV49" s="444"/>
      <c r="DW49" s="444"/>
      <c r="DX49" s="444"/>
      <c r="DY49" s="444"/>
      <c r="DZ49" s="444"/>
      <c r="EA49" s="444"/>
      <c r="EB49" s="444"/>
      <c r="EC49" s="444"/>
      <c r="ED49" s="444"/>
      <c r="EE49" s="444"/>
      <c r="EF49" s="444"/>
      <c r="EG49" s="444"/>
      <c r="EH49" s="444"/>
      <c r="EI49" s="444"/>
      <c r="EJ49" s="444"/>
      <c r="EK49" s="444"/>
      <c r="EL49" s="444"/>
      <c r="EM49" s="444"/>
      <c r="EN49" s="444"/>
      <c r="EO49" s="444"/>
      <c r="EP49" s="444"/>
      <c r="EQ49" s="444"/>
      <c r="ER49" s="444"/>
      <c r="ES49" s="444"/>
      <c r="ET49" s="444"/>
      <c r="EU49" s="444"/>
      <c r="EV49" s="444"/>
      <c r="EW49" s="444"/>
      <c r="EX49" s="444"/>
      <c r="EY49" s="444"/>
      <c r="EZ49" s="444"/>
      <c r="FA49" s="444"/>
      <c r="FB49" s="444"/>
      <c r="FC49" s="444"/>
      <c r="FD49" s="444"/>
      <c r="FE49" s="444"/>
      <c r="FF49" s="444"/>
      <c r="FG49" s="444"/>
      <c r="FH49" s="444"/>
      <c r="FI49" s="444"/>
      <c r="FJ49" s="444"/>
      <c r="FK49" s="444"/>
      <c r="FL49" s="444"/>
      <c r="FM49" s="444"/>
      <c r="FN49" s="444"/>
      <c r="FO49" s="444"/>
      <c r="FP49" s="444"/>
      <c r="FQ49" s="444"/>
      <c r="FR49" s="444"/>
      <c r="FS49" s="444"/>
      <c r="FT49" s="444"/>
      <c r="FU49" s="444"/>
      <c r="FV49" s="444"/>
      <c r="FW49" s="444"/>
      <c r="FX49" s="444"/>
      <c r="FY49" s="444"/>
      <c r="FZ49" s="444"/>
      <c r="GA49" s="444"/>
      <c r="GB49" s="444"/>
      <c r="GC49" s="444"/>
      <c r="GD49" s="444"/>
      <c r="GE49" s="444"/>
      <c r="GF49" s="444"/>
      <c r="GG49" s="444"/>
      <c r="GH49" s="444"/>
      <c r="GI49" s="444"/>
      <c r="GJ49" s="444"/>
      <c r="GK49" s="444"/>
      <c r="GL49" s="444"/>
      <c r="GM49" s="444"/>
      <c r="GN49" s="444"/>
      <c r="GO49" s="444"/>
      <c r="GP49" s="444"/>
      <c r="GQ49" s="444"/>
      <c r="GR49" s="444"/>
      <c r="GS49" s="444"/>
      <c r="GT49" s="444"/>
      <c r="GU49" s="444"/>
      <c r="GV49" s="444"/>
      <c r="GW49" s="444"/>
      <c r="GX49" s="444"/>
      <c r="GY49" s="444"/>
      <c r="GZ49" s="444"/>
      <c r="HA49" s="444"/>
      <c r="HB49" s="444"/>
      <c r="HC49" s="444"/>
      <c r="HD49" s="444"/>
      <c r="HE49" s="444"/>
      <c r="HF49" s="444"/>
      <c r="HG49" s="444"/>
      <c r="HH49" s="444"/>
      <c r="HI49" s="444"/>
      <c r="HJ49" s="444"/>
      <c r="HK49" s="444"/>
      <c r="HL49" s="444"/>
      <c r="HM49" s="444"/>
      <c r="HN49" s="444"/>
      <c r="HO49" s="444"/>
      <c r="HP49" s="444"/>
      <c r="HQ49" s="444"/>
      <c r="HR49" s="444"/>
      <c r="HS49" s="444"/>
      <c r="HT49" s="444"/>
      <c r="HU49" s="444"/>
      <c r="HV49" s="444"/>
      <c r="HW49" s="444"/>
      <c r="HX49" s="444"/>
      <c r="HY49" s="444"/>
      <c r="HZ49" s="444"/>
      <c r="IA49" s="444"/>
      <c r="IB49" s="444"/>
      <c r="IC49" s="444"/>
      <c r="ID49" s="444"/>
      <c r="IE49" s="444"/>
      <c r="IF49" s="444"/>
      <c r="IG49" s="444"/>
      <c r="IH49" s="444"/>
      <c r="II49" s="444"/>
      <c r="IJ49" s="444"/>
      <c r="IK49" s="444"/>
      <c r="IL49" s="444"/>
      <c r="IM49" s="444"/>
      <c r="IN49" s="444"/>
      <c r="IO49" s="444"/>
      <c r="IP49" s="444"/>
      <c r="IQ49" s="444"/>
      <c r="IR49" s="444"/>
      <c r="IS49" s="444"/>
      <c r="IT49" s="444"/>
      <c r="IU49" s="444"/>
      <c r="IV49" s="444"/>
      <c r="IW49" s="444"/>
      <c r="IX49" s="444"/>
      <c r="IY49" s="444"/>
      <c r="IZ49" s="444"/>
      <c r="JA49" s="444"/>
      <c r="JB49" s="444"/>
      <c r="JC49" s="444"/>
      <c r="JD49" s="444"/>
      <c r="JE49" s="444"/>
      <c r="JF49" s="444"/>
      <c r="JG49" s="444"/>
      <c r="JH49" s="444"/>
      <c r="JI49" s="444"/>
      <c r="JJ49" s="444"/>
      <c r="JK49" s="444"/>
      <c r="JL49" s="444"/>
      <c r="JM49" s="444"/>
      <c r="JN49" s="444"/>
      <c r="JO49" s="444"/>
      <c r="JP49" s="444"/>
      <c r="JQ49" s="444"/>
      <c r="JR49" s="444"/>
      <c r="JS49" s="444"/>
      <c r="JT49" s="444"/>
      <c r="JU49" s="444"/>
      <c r="JV49" s="444"/>
      <c r="JW49" s="444"/>
      <c r="JX49" s="444"/>
      <c r="JY49" s="444"/>
      <c r="JZ49" s="444"/>
      <c r="KA49" s="444"/>
      <c r="KB49" s="444"/>
      <c r="KC49" s="444"/>
      <c r="KD49" s="444"/>
      <c r="KE49" s="444"/>
      <c r="KF49" s="444"/>
      <c r="KG49" s="444"/>
      <c r="KH49" s="444"/>
      <c r="KI49" s="444"/>
      <c r="KJ49" s="444"/>
      <c r="KK49" s="444"/>
      <c r="KL49" s="444"/>
      <c r="KM49" s="444"/>
      <c r="KN49" s="444"/>
      <c r="KO49" s="444"/>
      <c r="KP49" s="444"/>
      <c r="KQ49" s="444"/>
      <c r="KR49" s="444"/>
      <c r="KS49" s="444"/>
      <c r="KT49" s="444"/>
      <c r="KU49" s="444"/>
      <c r="KV49" s="444"/>
      <c r="KW49" s="444"/>
      <c r="KX49" s="444"/>
      <c r="KY49" s="444"/>
      <c r="KZ49" s="444"/>
      <c r="LA49" s="444"/>
      <c r="LB49" s="444"/>
      <c r="LC49" s="444"/>
      <c r="LD49" s="444"/>
      <c r="LE49" s="444"/>
      <c r="LF49" s="444"/>
      <c r="LG49" s="444"/>
      <c r="LH49" s="444"/>
      <c r="LI49" s="444"/>
      <c r="LJ49" s="444"/>
      <c r="LK49" s="444"/>
      <c r="LL49" s="444"/>
      <c r="LM49" s="444"/>
      <c r="LN49" s="444"/>
      <c r="LO49" s="444"/>
      <c r="LP49" s="444"/>
      <c r="LQ49" s="444"/>
      <c r="LR49" s="444"/>
      <c r="LS49" s="444"/>
      <c r="LT49" s="444"/>
      <c r="LU49" s="444"/>
      <c r="LV49" s="444"/>
      <c r="LW49" s="444"/>
      <c r="LX49" s="444"/>
      <c r="LY49" s="444"/>
      <c r="LZ49" s="444"/>
      <c r="MA49" s="444"/>
      <c r="MB49" s="444"/>
      <c r="MC49" s="444"/>
      <c r="MD49" s="444"/>
      <c r="ME49" s="444"/>
      <c r="MF49" s="444"/>
      <c r="MG49" s="444"/>
      <c r="MH49" s="444"/>
      <c r="MI49" s="444"/>
      <c r="MJ49" s="444"/>
      <c r="MK49" s="444"/>
      <c r="ML49" s="444"/>
      <c r="MM49" s="444"/>
      <c r="MN49" s="444"/>
      <c r="MO49" s="444"/>
      <c r="MP49" s="444"/>
      <c r="MQ49" s="444"/>
      <c r="MR49" s="444"/>
      <c r="MS49" s="444"/>
      <c r="MT49" s="444"/>
      <c r="MU49" s="444"/>
      <c r="MV49" s="444"/>
      <c r="MW49" s="444"/>
      <c r="MX49" s="444"/>
      <c r="MY49" s="444"/>
      <c r="MZ49" s="444"/>
      <c r="NA49" s="444"/>
      <c r="NB49" s="444"/>
      <c r="NC49" s="444"/>
      <c r="ND49" s="444"/>
      <c r="NE49" s="444"/>
      <c r="NF49" s="444"/>
      <c r="NG49" s="444"/>
      <c r="NH49" s="444"/>
      <c r="NI49" s="444"/>
      <c r="NJ49" s="444"/>
      <c r="NK49" s="444"/>
      <c r="NL49" s="444"/>
      <c r="NM49" s="444"/>
      <c r="NN49" s="444"/>
      <c r="NO49" s="444"/>
      <c r="NP49" s="444"/>
      <c r="NQ49" s="444"/>
      <c r="NR49" s="444"/>
      <c r="NS49" s="444"/>
      <c r="NT49" s="444"/>
      <c r="NU49" s="444"/>
      <c r="NV49" s="444"/>
      <c r="NW49" s="444"/>
      <c r="NX49" s="444"/>
      <c r="NY49" s="444"/>
      <c r="NZ49" s="444"/>
      <c r="OA49" s="444"/>
      <c r="OB49" s="444"/>
      <c r="OC49" s="444"/>
      <c r="OD49" s="444"/>
      <c r="OE49" s="444"/>
      <c r="OF49" s="444"/>
      <c r="OG49" s="444"/>
      <c r="OH49" s="444"/>
      <c r="OI49" s="444"/>
      <c r="OJ49" s="444"/>
      <c r="OK49" s="444"/>
      <c r="OL49" s="444"/>
      <c r="OM49" s="444"/>
      <c r="ON49" s="444"/>
      <c r="OO49" s="444"/>
      <c r="OP49" s="444"/>
      <c r="OQ49" s="444"/>
      <c r="OR49" s="444"/>
      <c r="OS49" s="444"/>
      <c r="OT49" s="444"/>
      <c r="OU49" s="444"/>
      <c r="OV49" s="444"/>
      <c r="OW49" s="444"/>
      <c r="OX49" s="444"/>
      <c r="OY49" s="444"/>
      <c r="OZ49" s="444"/>
      <c r="PA49" s="444"/>
      <c r="PB49" s="444"/>
      <c r="PC49" s="444"/>
      <c r="PD49" s="444"/>
      <c r="PE49" s="444"/>
      <c r="PF49" s="444"/>
      <c r="PG49" s="444"/>
      <c r="PH49" s="444"/>
      <c r="PI49" s="444"/>
      <c r="PJ49" s="444"/>
      <c r="PK49" s="444"/>
      <c r="PL49" s="444"/>
      <c r="PM49" s="444"/>
      <c r="PN49" s="444"/>
      <c r="PO49" s="444"/>
      <c r="PP49" s="444"/>
      <c r="PQ49" s="444"/>
      <c r="PR49" s="444"/>
      <c r="PS49" s="444"/>
      <c r="PT49" s="444"/>
      <c r="PU49" s="444"/>
      <c r="PV49" s="444"/>
      <c r="PW49" s="444"/>
      <c r="PX49" s="444"/>
      <c r="PY49" s="444"/>
      <c r="PZ49" s="444"/>
      <c r="QA49" s="444"/>
      <c r="QB49" s="444"/>
      <c r="QC49" s="444"/>
      <c r="QD49" s="444"/>
      <c r="QE49" s="444"/>
      <c r="QF49" s="444"/>
      <c r="QG49" s="444"/>
      <c r="QH49" s="444"/>
      <c r="QI49" s="444"/>
      <c r="QJ49" s="444"/>
      <c r="QK49" s="444"/>
      <c r="QL49" s="444"/>
      <c r="QM49" s="444"/>
      <c r="QN49" s="444"/>
      <c r="QO49" s="444"/>
      <c r="QP49" s="444"/>
      <c r="QQ49" s="444"/>
      <c r="QR49" s="444"/>
      <c r="QS49" s="444"/>
      <c r="QT49" s="444"/>
      <c r="QU49" s="444"/>
      <c r="QV49" s="444"/>
      <c r="QW49" s="444"/>
      <c r="QX49" s="444"/>
      <c r="QY49" s="444"/>
      <c r="QZ49" s="444"/>
      <c r="RA49" s="444"/>
      <c r="RB49" s="444"/>
      <c r="RC49" s="444"/>
      <c r="RD49" s="444"/>
      <c r="RE49" s="444"/>
      <c r="RF49" s="444"/>
      <c r="RG49" s="444"/>
      <c r="RH49" s="444"/>
      <c r="RI49" s="444"/>
      <c r="RJ49" s="444"/>
      <c r="RK49" s="444"/>
      <c r="RL49" s="444"/>
      <c r="RM49" s="444"/>
      <c r="RN49" s="444"/>
      <c r="RO49" s="444"/>
      <c r="RP49" s="444"/>
      <c r="RQ49" s="444"/>
      <c r="RR49" s="444"/>
      <c r="RS49" s="444"/>
      <c r="RT49" s="444"/>
      <c r="RU49" s="444"/>
      <c r="RV49" s="444"/>
      <c r="RW49" s="444"/>
      <c r="RX49" s="444"/>
      <c r="RY49" s="444"/>
      <c r="RZ49" s="444"/>
      <c r="SA49" s="444"/>
      <c r="SB49" s="444"/>
      <c r="SC49" s="444"/>
      <c r="SD49" s="444"/>
      <c r="SE49" s="444"/>
      <c r="SF49" s="444"/>
      <c r="SG49" s="444"/>
      <c r="SH49" s="444"/>
      <c r="SI49" s="444"/>
      <c r="SJ49" s="444"/>
      <c r="SK49" s="444"/>
      <c r="SL49" s="444"/>
      <c r="SM49" s="444"/>
      <c r="SN49" s="444"/>
      <c r="SO49" s="444"/>
      <c r="SP49" s="444"/>
      <c r="SQ49" s="444"/>
      <c r="SR49" s="444"/>
      <c r="SS49" s="444"/>
      <c r="ST49" s="444"/>
      <c r="SU49" s="444"/>
      <c r="SV49" s="444"/>
      <c r="SW49" s="444"/>
      <c r="SX49" s="444"/>
      <c r="SY49" s="444"/>
      <c r="SZ49" s="444"/>
      <c r="TA49" s="444"/>
      <c r="TB49" s="444"/>
      <c r="TC49" s="444"/>
      <c r="TD49" s="444"/>
      <c r="TE49" s="444"/>
      <c r="TF49" s="444"/>
      <c r="TG49" s="444"/>
      <c r="TH49" s="444"/>
      <c r="TI49" s="444"/>
      <c r="TJ49" s="444"/>
      <c r="TK49" s="444"/>
      <c r="TL49" s="444"/>
      <c r="TM49" s="444"/>
      <c r="TN49" s="444"/>
      <c r="TO49" s="444"/>
      <c r="TP49" s="444"/>
      <c r="TQ49" s="444"/>
      <c r="TR49" s="444"/>
      <c r="TS49" s="444"/>
      <c r="TT49" s="444"/>
      <c r="TU49" s="444"/>
      <c r="TV49" s="444"/>
      <c r="TW49" s="444"/>
      <c r="TX49" s="444"/>
      <c r="TY49" s="444"/>
      <c r="TZ49" s="444"/>
      <c r="UA49" s="444"/>
      <c r="UB49" s="444"/>
      <c r="UC49" s="444"/>
      <c r="UD49" s="444"/>
      <c r="UE49" s="444"/>
      <c r="UF49" s="444"/>
      <c r="UG49" s="444"/>
      <c r="UH49" s="444"/>
      <c r="UI49" s="444"/>
      <c r="UJ49" s="444"/>
      <c r="UK49" s="444"/>
      <c r="UL49" s="444"/>
      <c r="UM49" s="444"/>
      <c r="UN49" s="444"/>
      <c r="UO49" s="444"/>
      <c r="UP49" s="444"/>
      <c r="UQ49" s="444"/>
      <c r="UR49" s="444"/>
      <c r="US49" s="444"/>
      <c r="UT49" s="444"/>
      <c r="UU49" s="444"/>
      <c r="UV49" s="444"/>
      <c r="UW49" s="444"/>
      <c r="UX49" s="444"/>
      <c r="UY49" s="444"/>
      <c r="UZ49" s="444"/>
      <c r="VA49" s="444"/>
      <c r="VB49" s="444"/>
      <c r="VC49" s="444"/>
      <c r="VD49" s="444"/>
      <c r="VE49" s="444"/>
      <c r="VF49" s="444"/>
      <c r="VG49" s="444"/>
      <c r="VH49" s="444"/>
      <c r="VI49" s="444"/>
      <c r="VJ49" s="444"/>
      <c r="VK49" s="444"/>
      <c r="VL49" s="444"/>
      <c r="VM49" s="444"/>
      <c r="VN49" s="444"/>
      <c r="VO49" s="444"/>
      <c r="VP49" s="444"/>
      <c r="VQ49" s="444"/>
      <c r="VR49" s="444"/>
      <c r="VS49" s="444"/>
      <c r="VT49" s="444"/>
      <c r="VU49" s="444"/>
      <c r="VV49" s="444"/>
      <c r="VW49" s="444"/>
      <c r="VX49" s="444"/>
      <c r="VY49" s="444"/>
      <c r="VZ49" s="444"/>
      <c r="WA49" s="444"/>
      <c r="WB49" s="444"/>
      <c r="WC49" s="444"/>
      <c r="WD49" s="444"/>
      <c r="WE49" s="444"/>
      <c r="WF49" s="444"/>
    </row>
    <row r="50" spans="1:604" s="498" customFormat="1" ht="63" hidden="1" x14ac:dyDescent="0.2">
      <c r="A50" s="486"/>
      <c r="B50" s="486"/>
      <c r="C50" s="450" t="s">
        <v>645</v>
      </c>
      <c r="D50" s="450" t="s">
        <v>192</v>
      </c>
      <c r="E50" s="435">
        <v>100980</v>
      </c>
      <c r="F50" s="442" t="s">
        <v>368</v>
      </c>
      <c r="G50" s="437">
        <f>'MC-DRE'!J54</f>
        <v>0</v>
      </c>
      <c r="H50" s="438" t="s">
        <v>0</v>
      </c>
      <c r="I50" s="479">
        <f>I40</f>
        <v>6.33</v>
      </c>
      <c r="J50" s="439">
        <f t="shared" si="1"/>
        <v>8.07</v>
      </c>
      <c r="K50" s="476">
        <f t="shared" si="2"/>
        <v>0</v>
      </c>
      <c r="L50" s="446"/>
      <c r="M50" s="446"/>
      <c r="AE50" s="499"/>
      <c r="AF50" s="499"/>
      <c r="AG50" s="499"/>
      <c r="AH50" s="499"/>
      <c r="AI50" s="499"/>
      <c r="AJ50" s="499"/>
      <c r="AK50" s="499"/>
      <c r="AL50" s="499"/>
      <c r="AM50" s="499"/>
      <c r="AN50" s="499"/>
      <c r="AO50" s="499"/>
      <c r="AP50" s="499"/>
      <c r="AQ50" s="499"/>
      <c r="AR50" s="499"/>
      <c r="AS50" s="499"/>
      <c r="AT50" s="499"/>
      <c r="AU50" s="499"/>
      <c r="AV50" s="499"/>
      <c r="AW50" s="499"/>
      <c r="AX50" s="499"/>
      <c r="AY50" s="499"/>
      <c r="AZ50" s="499"/>
      <c r="BA50" s="499"/>
      <c r="BB50" s="499"/>
      <c r="BC50" s="499"/>
      <c r="BD50" s="499"/>
      <c r="BE50" s="499"/>
      <c r="BF50" s="499"/>
      <c r="BG50" s="499"/>
      <c r="BH50" s="499"/>
      <c r="BI50" s="499"/>
      <c r="BJ50" s="499"/>
      <c r="BK50" s="499"/>
      <c r="BL50" s="499"/>
      <c r="BM50" s="499"/>
      <c r="BN50" s="499"/>
      <c r="BO50" s="499"/>
      <c r="BP50" s="499"/>
      <c r="BQ50" s="499"/>
      <c r="BR50" s="499"/>
      <c r="BS50" s="499"/>
      <c r="BT50" s="499"/>
      <c r="BU50" s="499"/>
      <c r="BV50" s="499"/>
      <c r="BW50" s="499"/>
      <c r="BX50" s="499"/>
      <c r="BY50" s="499"/>
      <c r="BZ50" s="499"/>
      <c r="CA50" s="499"/>
      <c r="CB50" s="499"/>
      <c r="CC50" s="499"/>
      <c r="CD50" s="499"/>
      <c r="CE50" s="499"/>
      <c r="CF50" s="499"/>
      <c r="CG50" s="499"/>
      <c r="CH50" s="499"/>
      <c r="CI50" s="499"/>
      <c r="CJ50" s="499"/>
      <c r="CK50" s="499"/>
      <c r="CL50" s="499"/>
      <c r="CM50" s="499"/>
      <c r="CN50" s="499"/>
      <c r="CO50" s="499"/>
      <c r="CP50" s="499"/>
      <c r="CQ50" s="499"/>
      <c r="CR50" s="499"/>
      <c r="CS50" s="499"/>
      <c r="CT50" s="499"/>
      <c r="CU50" s="499"/>
      <c r="CV50" s="499"/>
      <c r="CW50" s="499"/>
      <c r="CX50" s="499"/>
      <c r="CY50" s="499"/>
      <c r="CZ50" s="499"/>
      <c r="DA50" s="499"/>
      <c r="DB50" s="499"/>
      <c r="DC50" s="499"/>
      <c r="DD50" s="499"/>
      <c r="DE50" s="499"/>
      <c r="DF50" s="499"/>
      <c r="DG50" s="499"/>
      <c r="DH50" s="499"/>
      <c r="DI50" s="499"/>
      <c r="DJ50" s="499"/>
      <c r="DK50" s="499"/>
      <c r="DL50" s="499"/>
      <c r="DM50" s="499"/>
      <c r="DN50" s="499"/>
      <c r="DO50" s="499"/>
      <c r="DP50" s="499"/>
      <c r="DQ50" s="499"/>
      <c r="DR50" s="499"/>
      <c r="DS50" s="499"/>
      <c r="DT50" s="499"/>
      <c r="DU50" s="499"/>
      <c r="DV50" s="499"/>
      <c r="DW50" s="499"/>
      <c r="DX50" s="499"/>
      <c r="DY50" s="499"/>
      <c r="DZ50" s="499"/>
      <c r="EA50" s="499"/>
      <c r="EB50" s="499"/>
      <c r="EC50" s="499"/>
      <c r="ED50" s="499"/>
      <c r="EE50" s="499"/>
      <c r="EF50" s="499"/>
      <c r="EG50" s="499"/>
      <c r="EH50" s="499"/>
      <c r="EI50" s="499"/>
      <c r="EJ50" s="499"/>
      <c r="EK50" s="499"/>
      <c r="EL50" s="499"/>
      <c r="EM50" s="499"/>
      <c r="EN50" s="499"/>
      <c r="EO50" s="499"/>
      <c r="EP50" s="499"/>
      <c r="EQ50" s="499"/>
      <c r="ER50" s="499"/>
      <c r="ES50" s="499"/>
      <c r="ET50" s="499"/>
      <c r="EU50" s="499"/>
      <c r="EV50" s="499"/>
      <c r="EW50" s="499"/>
      <c r="EX50" s="499"/>
      <c r="EY50" s="499"/>
      <c r="EZ50" s="499"/>
      <c r="FA50" s="499"/>
      <c r="FB50" s="499"/>
      <c r="FC50" s="499"/>
      <c r="FD50" s="499"/>
      <c r="FE50" s="499"/>
      <c r="FF50" s="499"/>
      <c r="FG50" s="499"/>
      <c r="FH50" s="499"/>
      <c r="FI50" s="499"/>
      <c r="FJ50" s="499"/>
      <c r="FK50" s="499"/>
      <c r="FL50" s="499"/>
      <c r="FM50" s="499"/>
      <c r="FN50" s="499"/>
      <c r="FO50" s="499"/>
      <c r="FP50" s="499"/>
      <c r="FQ50" s="499"/>
      <c r="FR50" s="499"/>
      <c r="FS50" s="499"/>
      <c r="FT50" s="499"/>
      <c r="FU50" s="499"/>
      <c r="FV50" s="499"/>
      <c r="FW50" s="499"/>
      <c r="FX50" s="499"/>
      <c r="FY50" s="499"/>
      <c r="FZ50" s="499"/>
      <c r="GA50" s="499"/>
      <c r="GB50" s="499"/>
      <c r="GC50" s="499"/>
      <c r="GD50" s="499"/>
      <c r="GE50" s="499"/>
      <c r="GF50" s="499"/>
      <c r="GG50" s="499"/>
      <c r="GH50" s="499"/>
      <c r="GI50" s="499"/>
      <c r="GJ50" s="499"/>
      <c r="GK50" s="499"/>
      <c r="GL50" s="499"/>
      <c r="GM50" s="499"/>
      <c r="GN50" s="499"/>
      <c r="GO50" s="499"/>
      <c r="GP50" s="499"/>
      <c r="GQ50" s="499"/>
      <c r="GR50" s="499"/>
      <c r="GS50" s="499"/>
      <c r="GT50" s="499"/>
      <c r="GU50" s="499"/>
      <c r="GV50" s="499"/>
      <c r="GW50" s="499"/>
      <c r="GX50" s="499"/>
      <c r="GY50" s="499"/>
      <c r="GZ50" s="499"/>
      <c r="HA50" s="499"/>
      <c r="HB50" s="499"/>
      <c r="HC50" s="499"/>
      <c r="HD50" s="499"/>
      <c r="HE50" s="499"/>
      <c r="HF50" s="499"/>
      <c r="HG50" s="499"/>
      <c r="HH50" s="499"/>
      <c r="HI50" s="499"/>
      <c r="HJ50" s="499"/>
      <c r="HK50" s="499"/>
      <c r="HL50" s="499"/>
      <c r="HM50" s="499"/>
      <c r="HN50" s="499"/>
      <c r="HO50" s="499"/>
      <c r="HP50" s="499"/>
      <c r="HQ50" s="499"/>
      <c r="HR50" s="499"/>
      <c r="HS50" s="499"/>
      <c r="HT50" s="499"/>
      <c r="HU50" s="499"/>
      <c r="HV50" s="499"/>
      <c r="HW50" s="499"/>
      <c r="HX50" s="499"/>
      <c r="HY50" s="499"/>
      <c r="HZ50" s="499"/>
      <c r="IA50" s="499"/>
      <c r="IB50" s="499"/>
      <c r="IC50" s="499"/>
      <c r="ID50" s="499"/>
      <c r="IE50" s="499"/>
      <c r="IF50" s="499"/>
      <c r="IG50" s="499"/>
      <c r="IH50" s="499"/>
      <c r="II50" s="499"/>
      <c r="IJ50" s="499"/>
      <c r="IK50" s="499"/>
      <c r="IL50" s="499"/>
      <c r="IM50" s="499"/>
      <c r="IN50" s="499"/>
      <c r="IO50" s="499"/>
      <c r="IP50" s="499"/>
      <c r="IQ50" s="499"/>
      <c r="IR50" s="499"/>
      <c r="IS50" s="499"/>
      <c r="IT50" s="499"/>
      <c r="IU50" s="499"/>
      <c r="IV50" s="499"/>
      <c r="IW50" s="499"/>
      <c r="IX50" s="499"/>
      <c r="IY50" s="499"/>
      <c r="IZ50" s="499"/>
      <c r="JA50" s="499"/>
      <c r="JB50" s="499"/>
      <c r="JC50" s="499"/>
      <c r="JD50" s="499"/>
      <c r="JE50" s="499"/>
      <c r="JF50" s="499"/>
      <c r="JG50" s="499"/>
      <c r="JH50" s="499"/>
      <c r="JI50" s="499"/>
      <c r="JJ50" s="499"/>
      <c r="JK50" s="499"/>
      <c r="JL50" s="499"/>
      <c r="JM50" s="499"/>
      <c r="JN50" s="499"/>
      <c r="JO50" s="499"/>
      <c r="JP50" s="499"/>
      <c r="JQ50" s="499"/>
      <c r="JR50" s="499"/>
      <c r="JS50" s="499"/>
      <c r="JT50" s="499"/>
      <c r="JU50" s="499"/>
      <c r="JV50" s="499"/>
      <c r="JW50" s="499"/>
      <c r="JX50" s="499"/>
      <c r="JY50" s="499"/>
      <c r="JZ50" s="499"/>
      <c r="KA50" s="499"/>
      <c r="KB50" s="499"/>
      <c r="KC50" s="499"/>
      <c r="KD50" s="499"/>
      <c r="KE50" s="499"/>
      <c r="KF50" s="499"/>
      <c r="KG50" s="499"/>
      <c r="KH50" s="499"/>
      <c r="KI50" s="499"/>
      <c r="KJ50" s="499"/>
      <c r="KK50" s="499"/>
      <c r="KL50" s="499"/>
      <c r="KM50" s="499"/>
      <c r="KN50" s="499"/>
      <c r="KO50" s="499"/>
      <c r="KP50" s="499"/>
      <c r="KQ50" s="499"/>
      <c r="KR50" s="499"/>
      <c r="KS50" s="499"/>
      <c r="KT50" s="499"/>
      <c r="KU50" s="499"/>
      <c r="KV50" s="499"/>
      <c r="KW50" s="499"/>
      <c r="KX50" s="499"/>
      <c r="KY50" s="499"/>
      <c r="KZ50" s="499"/>
      <c r="LA50" s="499"/>
      <c r="LB50" s="499"/>
      <c r="LC50" s="499"/>
      <c r="LD50" s="499"/>
      <c r="LE50" s="499"/>
      <c r="LF50" s="499"/>
      <c r="LG50" s="499"/>
      <c r="LH50" s="499"/>
      <c r="LI50" s="499"/>
      <c r="LJ50" s="499"/>
      <c r="LK50" s="499"/>
      <c r="LL50" s="499"/>
      <c r="LM50" s="499"/>
      <c r="LN50" s="499"/>
      <c r="LO50" s="499"/>
      <c r="LP50" s="499"/>
      <c r="LQ50" s="499"/>
      <c r="LR50" s="499"/>
      <c r="LS50" s="499"/>
      <c r="LT50" s="499"/>
      <c r="LU50" s="499"/>
      <c r="LV50" s="499"/>
      <c r="LW50" s="499"/>
      <c r="LX50" s="499"/>
      <c r="LY50" s="499"/>
      <c r="LZ50" s="499"/>
      <c r="MA50" s="499"/>
      <c r="MB50" s="499"/>
      <c r="MC50" s="499"/>
      <c r="MD50" s="499"/>
      <c r="ME50" s="499"/>
      <c r="MF50" s="499"/>
      <c r="MG50" s="499"/>
      <c r="MH50" s="499"/>
      <c r="MI50" s="499"/>
      <c r="MJ50" s="499"/>
      <c r="MK50" s="499"/>
      <c r="ML50" s="499"/>
      <c r="MM50" s="499"/>
      <c r="MN50" s="499"/>
      <c r="MO50" s="499"/>
      <c r="MP50" s="499"/>
      <c r="MQ50" s="499"/>
      <c r="MR50" s="499"/>
      <c r="MS50" s="499"/>
      <c r="MT50" s="499"/>
      <c r="MU50" s="499"/>
      <c r="MV50" s="499"/>
      <c r="MW50" s="499"/>
      <c r="MX50" s="499"/>
      <c r="MY50" s="499"/>
      <c r="MZ50" s="499"/>
      <c r="NA50" s="499"/>
      <c r="NB50" s="499"/>
      <c r="NC50" s="499"/>
      <c r="ND50" s="499"/>
      <c r="NE50" s="499"/>
      <c r="NF50" s="499"/>
      <c r="NG50" s="499"/>
      <c r="NH50" s="499"/>
      <c r="NI50" s="499"/>
      <c r="NJ50" s="499"/>
      <c r="NK50" s="499"/>
      <c r="NL50" s="499"/>
      <c r="NM50" s="499"/>
      <c r="NN50" s="499"/>
      <c r="NO50" s="499"/>
      <c r="NP50" s="499"/>
      <c r="NQ50" s="499"/>
      <c r="NR50" s="499"/>
      <c r="NS50" s="499"/>
      <c r="NT50" s="499"/>
      <c r="NU50" s="499"/>
      <c r="NV50" s="499"/>
      <c r="NW50" s="499"/>
      <c r="NX50" s="499"/>
      <c r="NY50" s="499"/>
      <c r="NZ50" s="499"/>
      <c r="OA50" s="499"/>
      <c r="OB50" s="499"/>
      <c r="OC50" s="499"/>
      <c r="OD50" s="499"/>
      <c r="OE50" s="499"/>
      <c r="OF50" s="499"/>
      <c r="OG50" s="499"/>
      <c r="OH50" s="499"/>
      <c r="OI50" s="499"/>
      <c r="OJ50" s="499"/>
      <c r="OK50" s="499"/>
      <c r="OL50" s="499"/>
      <c r="OM50" s="499"/>
      <c r="ON50" s="499"/>
      <c r="OO50" s="499"/>
      <c r="OP50" s="499"/>
      <c r="OQ50" s="499"/>
      <c r="OR50" s="499"/>
      <c r="OS50" s="499"/>
      <c r="OT50" s="499"/>
      <c r="OU50" s="499"/>
      <c r="OV50" s="499"/>
      <c r="OW50" s="499"/>
      <c r="OX50" s="499"/>
      <c r="OY50" s="499"/>
      <c r="OZ50" s="499"/>
      <c r="PA50" s="499"/>
      <c r="PB50" s="499"/>
      <c r="PC50" s="499"/>
      <c r="PD50" s="499"/>
      <c r="PE50" s="499"/>
      <c r="PF50" s="499"/>
      <c r="PG50" s="499"/>
      <c r="PH50" s="499"/>
      <c r="PI50" s="499"/>
      <c r="PJ50" s="499"/>
      <c r="PK50" s="499"/>
      <c r="PL50" s="499"/>
      <c r="PM50" s="499"/>
      <c r="PN50" s="499"/>
      <c r="PO50" s="499"/>
      <c r="PP50" s="499"/>
      <c r="PQ50" s="499"/>
      <c r="PR50" s="499"/>
      <c r="PS50" s="499"/>
      <c r="PT50" s="499"/>
      <c r="PU50" s="499"/>
      <c r="PV50" s="499"/>
      <c r="PW50" s="499"/>
      <c r="PX50" s="499"/>
      <c r="PY50" s="499"/>
      <c r="PZ50" s="499"/>
      <c r="QA50" s="499"/>
      <c r="QB50" s="499"/>
      <c r="QC50" s="499"/>
      <c r="QD50" s="499"/>
      <c r="QE50" s="499"/>
      <c r="QF50" s="499"/>
      <c r="QG50" s="499"/>
      <c r="QH50" s="499"/>
      <c r="QI50" s="499"/>
      <c r="QJ50" s="499"/>
      <c r="QK50" s="499"/>
      <c r="QL50" s="499"/>
      <c r="QM50" s="499"/>
      <c r="QN50" s="499"/>
      <c r="QO50" s="499"/>
      <c r="QP50" s="499"/>
      <c r="QQ50" s="499"/>
      <c r="QR50" s="499"/>
      <c r="QS50" s="499"/>
      <c r="QT50" s="499"/>
      <c r="QU50" s="499"/>
      <c r="QV50" s="499"/>
      <c r="QW50" s="499"/>
      <c r="QX50" s="499"/>
      <c r="QY50" s="499"/>
      <c r="QZ50" s="499"/>
      <c r="RA50" s="499"/>
      <c r="RB50" s="499"/>
      <c r="RC50" s="499"/>
      <c r="RD50" s="499"/>
      <c r="RE50" s="499"/>
      <c r="RF50" s="499"/>
      <c r="RG50" s="499"/>
      <c r="RH50" s="499"/>
      <c r="RI50" s="499"/>
      <c r="RJ50" s="499"/>
      <c r="RK50" s="499"/>
      <c r="RL50" s="499"/>
      <c r="RM50" s="499"/>
      <c r="RN50" s="499"/>
      <c r="RO50" s="499"/>
      <c r="RP50" s="499"/>
      <c r="RQ50" s="499"/>
      <c r="RR50" s="499"/>
      <c r="RS50" s="499"/>
      <c r="RT50" s="499"/>
      <c r="RU50" s="499"/>
      <c r="RV50" s="499"/>
      <c r="RW50" s="499"/>
      <c r="RX50" s="499"/>
      <c r="RY50" s="499"/>
      <c r="RZ50" s="499"/>
      <c r="SA50" s="499"/>
      <c r="SB50" s="499"/>
      <c r="SC50" s="499"/>
      <c r="SD50" s="499"/>
      <c r="SE50" s="499"/>
      <c r="SF50" s="499"/>
      <c r="SG50" s="499"/>
      <c r="SH50" s="499"/>
      <c r="SI50" s="499"/>
      <c r="SJ50" s="499"/>
      <c r="SK50" s="499"/>
      <c r="SL50" s="499"/>
      <c r="SM50" s="499"/>
      <c r="SN50" s="499"/>
      <c r="SO50" s="499"/>
      <c r="SP50" s="499"/>
      <c r="SQ50" s="499"/>
      <c r="SR50" s="499"/>
      <c r="SS50" s="499"/>
      <c r="ST50" s="499"/>
      <c r="SU50" s="499"/>
      <c r="SV50" s="499"/>
      <c r="SW50" s="499"/>
      <c r="SX50" s="499"/>
      <c r="SY50" s="499"/>
      <c r="SZ50" s="499"/>
      <c r="TA50" s="499"/>
      <c r="TB50" s="499"/>
      <c r="TC50" s="499"/>
      <c r="TD50" s="499"/>
      <c r="TE50" s="499"/>
      <c r="TF50" s="499"/>
      <c r="TG50" s="499"/>
      <c r="TH50" s="499"/>
      <c r="TI50" s="499"/>
      <c r="TJ50" s="499"/>
      <c r="TK50" s="499"/>
      <c r="TL50" s="499"/>
      <c r="TM50" s="499"/>
      <c r="TN50" s="499"/>
      <c r="TO50" s="499"/>
      <c r="TP50" s="499"/>
      <c r="TQ50" s="499"/>
      <c r="TR50" s="499"/>
      <c r="TS50" s="499"/>
      <c r="TT50" s="499"/>
      <c r="TU50" s="499"/>
      <c r="TV50" s="499"/>
      <c r="TW50" s="499"/>
      <c r="TX50" s="499"/>
      <c r="TY50" s="499"/>
      <c r="TZ50" s="499"/>
      <c r="UA50" s="499"/>
      <c r="UB50" s="499"/>
      <c r="UC50" s="499"/>
      <c r="UD50" s="499"/>
      <c r="UE50" s="499"/>
      <c r="UF50" s="499"/>
      <c r="UG50" s="499"/>
      <c r="UH50" s="499"/>
      <c r="UI50" s="499"/>
      <c r="UJ50" s="499"/>
      <c r="UK50" s="499"/>
      <c r="UL50" s="499"/>
      <c r="UM50" s="499"/>
      <c r="UN50" s="499"/>
      <c r="UO50" s="499"/>
      <c r="UP50" s="499"/>
      <c r="UQ50" s="499"/>
      <c r="UR50" s="499"/>
      <c r="US50" s="499"/>
      <c r="UT50" s="499"/>
      <c r="UU50" s="499"/>
      <c r="UV50" s="499"/>
      <c r="UW50" s="499"/>
      <c r="UX50" s="499"/>
      <c r="UY50" s="499"/>
      <c r="UZ50" s="499"/>
      <c r="VA50" s="499"/>
      <c r="VB50" s="499"/>
      <c r="VC50" s="499"/>
      <c r="VD50" s="499"/>
      <c r="VE50" s="499"/>
      <c r="VF50" s="499"/>
      <c r="VG50" s="499"/>
      <c r="VH50" s="499"/>
      <c r="VI50" s="499"/>
      <c r="VJ50" s="499"/>
      <c r="VK50" s="499"/>
      <c r="VL50" s="499"/>
      <c r="VM50" s="499"/>
      <c r="VN50" s="499"/>
      <c r="VO50" s="499"/>
      <c r="VP50" s="499"/>
      <c r="VQ50" s="499"/>
      <c r="VR50" s="499"/>
      <c r="VS50" s="499"/>
      <c r="VT50" s="499"/>
      <c r="VU50" s="499"/>
      <c r="VV50" s="499"/>
      <c r="VW50" s="499"/>
      <c r="VX50" s="499"/>
      <c r="VY50" s="499"/>
      <c r="VZ50" s="499"/>
      <c r="WA50" s="499"/>
      <c r="WB50" s="499"/>
      <c r="WC50" s="499"/>
      <c r="WD50" s="499"/>
      <c r="WE50" s="499"/>
      <c r="WF50" s="499"/>
    </row>
    <row r="51" spans="1:604" s="498" customFormat="1" ht="45" hidden="1" customHeight="1" x14ac:dyDescent="0.2">
      <c r="A51" s="486"/>
      <c r="B51" s="486"/>
      <c r="C51" s="450" t="s">
        <v>646</v>
      </c>
      <c r="D51" s="440" t="s">
        <v>192</v>
      </c>
      <c r="E51" s="441" t="s">
        <v>369</v>
      </c>
      <c r="F51" s="442" t="s">
        <v>370</v>
      </c>
      <c r="G51" s="437">
        <f>'MC-DRE'!K54</f>
        <v>0</v>
      </c>
      <c r="H51" s="438" t="s">
        <v>245</v>
      </c>
      <c r="I51" s="479">
        <f t="shared" ref="I51:I56" si="4">I41</f>
        <v>2.78</v>
      </c>
      <c r="J51" s="439">
        <f>ROUND(I51*(1+$J$9),2)</f>
        <v>3.54</v>
      </c>
      <c r="K51" s="476">
        <f>ROUND(J51*G51,2)</f>
        <v>0</v>
      </c>
      <c r="L51" s="446"/>
      <c r="M51" s="446"/>
      <c r="AE51" s="499"/>
      <c r="AF51" s="499"/>
      <c r="AG51" s="499"/>
      <c r="AH51" s="499"/>
      <c r="AI51" s="499"/>
      <c r="AJ51" s="499"/>
      <c r="AK51" s="499"/>
      <c r="AL51" s="499"/>
      <c r="AM51" s="499"/>
      <c r="AN51" s="499"/>
      <c r="AO51" s="499"/>
      <c r="AP51" s="499"/>
      <c r="AQ51" s="499"/>
      <c r="AR51" s="499"/>
      <c r="AS51" s="499"/>
      <c r="AT51" s="499"/>
      <c r="AU51" s="499"/>
      <c r="AV51" s="499"/>
      <c r="AW51" s="499"/>
      <c r="AX51" s="499"/>
      <c r="AY51" s="499"/>
      <c r="AZ51" s="499"/>
      <c r="BA51" s="499"/>
      <c r="BB51" s="499"/>
      <c r="BC51" s="499"/>
      <c r="BD51" s="499"/>
      <c r="BE51" s="499"/>
      <c r="BF51" s="499"/>
      <c r="BG51" s="499"/>
      <c r="BH51" s="499"/>
      <c r="BI51" s="499"/>
      <c r="BJ51" s="499"/>
      <c r="BK51" s="499"/>
      <c r="BL51" s="499"/>
      <c r="BM51" s="499"/>
      <c r="BN51" s="499"/>
      <c r="BO51" s="499"/>
      <c r="BP51" s="499"/>
      <c r="BQ51" s="499"/>
      <c r="BR51" s="499"/>
      <c r="BS51" s="499"/>
      <c r="BT51" s="499"/>
      <c r="BU51" s="499"/>
      <c r="BV51" s="499"/>
      <c r="BW51" s="499"/>
      <c r="BX51" s="499"/>
      <c r="BY51" s="499"/>
      <c r="BZ51" s="499"/>
      <c r="CA51" s="499"/>
      <c r="CB51" s="499"/>
      <c r="CC51" s="499"/>
      <c r="CD51" s="499"/>
      <c r="CE51" s="499"/>
      <c r="CF51" s="499"/>
      <c r="CG51" s="499"/>
      <c r="CH51" s="499"/>
      <c r="CI51" s="499"/>
      <c r="CJ51" s="499"/>
      <c r="CK51" s="499"/>
      <c r="CL51" s="499"/>
      <c r="CM51" s="499"/>
      <c r="CN51" s="499"/>
      <c r="CO51" s="499"/>
      <c r="CP51" s="499"/>
      <c r="CQ51" s="499"/>
      <c r="CR51" s="499"/>
      <c r="CS51" s="499"/>
      <c r="CT51" s="499"/>
      <c r="CU51" s="499"/>
      <c r="CV51" s="499"/>
      <c r="CW51" s="499"/>
      <c r="CX51" s="499"/>
      <c r="CY51" s="499"/>
      <c r="CZ51" s="499"/>
      <c r="DA51" s="499"/>
      <c r="DB51" s="499"/>
      <c r="DC51" s="499"/>
      <c r="DD51" s="499"/>
      <c r="DE51" s="499"/>
      <c r="DF51" s="499"/>
      <c r="DG51" s="499"/>
      <c r="DH51" s="499"/>
      <c r="DI51" s="499"/>
      <c r="DJ51" s="499"/>
      <c r="DK51" s="499"/>
      <c r="DL51" s="499"/>
      <c r="DM51" s="499"/>
      <c r="DN51" s="499"/>
      <c r="DO51" s="499"/>
      <c r="DP51" s="499"/>
      <c r="DQ51" s="499"/>
      <c r="DR51" s="499"/>
      <c r="DS51" s="499"/>
      <c r="DT51" s="499"/>
      <c r="DU51" s="499"/>
      <c r="DV51" s="499"/>
      <c r="DW51" s="499"/>
      <c r="DX51" s="499"/>
      <c r="DY51" s="499"/>
      <c r="DZ51" s="499"/>
      <c r="EA51" s="499"/>
      <c r="EB51" s="499"/>
      <c r="EC51" s="499"/>
      <c r="ED51" s="499"/>
      <c r="EE51" s="499"/>
      <c r="EF51" s="499"/>
      <c r="EG51" s="499"/>
      <c r="EH51" s="499"/>
      <c r="EI51" s="499"/>
      <c r="EJ51" s="499"/>
      <c r="EK51" s="499"/>
      <c r="EL51" s="499"/>
      <c r="EM51" s="499"/>
      <c r="EN51" s="499"/>
      <c r="EO51" s="499"/>
      <c r="EP51" s="499"/>
      <c r="EQ51" s="499"/>
      <c r="ER51" s="499"/>
      <c r="ES51" s="499"/>
      <c r="ET51" s="499"/>
      <c r="EU51" s="499"/>
      <c r="EV51" s="499"/>
      <c r="EW51" s="499"/>
      <c r="EX51" s="499"/>
      <c r="EY51" s="499"/>
      <c r="EZ51" s="499"/>
      <c r="FA51" s="499"/>
      <c r="FB51" s="499"/>
      <c r="FC51" s="499"/>
      <c r="FD51" s="499"/>
      <c r="FE51" s="499"/>
      <c r="FF51" s="499"/>
      <c r="FG51" s="499"/>
      <c r="FH51" s="499"/>
      <c r="FI51" s="499"/>
      <c r="FJ51" s="499"/>
      <c r="FK51" s="499"/>
      <c r="FL51" s="499"/>
      <c r="FM51" s="499"/>
      <c r="FN51" s="499"/>
      <c r="FO51" s="499"/>
      <c r="FP51" s="499"/>
      <c r="FQ51" s="499"/>
      <c r="FR51" s="499"/>
      <c r="FS51" s="499"/>
      <c r="FT51" s="499"/>
      <c r="FU51" s="499"/>
      <c r="FV51" s="499"/>
      <c r="FW51" s="499"/>
      <c r="FX51" s="499"/>
      <c r="FY51" s="499"/>
      <c r="FZ51" s="499"/>
      <c r="GA51" s="499"/>
      <c r="GB51" s="499"/>
      <c r="GC51" s="499"/>
      <c r="GD51" s="499"/>
      <c r="GE51" s="499"/>
      <c r="GF51" s="499"/>
      <c r="GG51" s="499"/>
      <c r="GH51" s="499"/>
      <c r="GI51" s="499"/>
      <c r="GJ51" s="499"/>
      <c r="GK51" s="499"/>
      <c r="GL51" s="499"/>
      <c r="GM51" s="499"/>
      <c r="GN51" s="499"/>
      <c r="GO51" s="499"/>
      <c r="GP51" s="499"/>
      <c r="GQ51" s="499"/>
      <c r="GR51" s="499"/>
      <c r="GS51" s="499"/>
      <c r="GT51" s="499"/>
      <c r="GU51" s="499"/>
      <c r="GV51" s="499"/>
      <c r="GW51" s="499"/>
      <c r="GX51" s="499"/>
      <c r="GY51" s="499"/>
      <c r="GZ51" s="499"/>
      <c r="HA51" s="499"/>
      <c r="HB51" s="499"/>
      <c r="HC51" s="499"/>
      <c r="HD51" s="499"/>
      <c r="HE51" s="499"/>
      <c r="HF51" s="499"/>
      <c r="HG51" s="499"/>
      <c r="HH51" s="499"/>
      <c r="HI51" s="499"/>
      <c r="HJ51" s="499"/>
      <c r="HK51" s="499"/>
      <c r="HL51" s="499"/>
      <c r="HM51" s="499"/>
      <c r="HN51" s="499"/>
      <c r="HO51" s="499"/>
      <c r="HP51" s="499"/>
      <c r="HQ51" s="499"/>
      <c r="HR51" s="499"/>
      <c r="HS51" s="499"/>
      <c r="HT51" s="499"/>
      <c r="HU51" s="499"/>
      <c r="HV51" s="499"/>
      <c r="HW51" s="499"/>
      <c r="HX51" s="499"/>
      <c r="HY51" s="499"/>
      <c r="HZ51" s="499"/>
      <c r="IA51" s="499"/>
      <c r="IB51" s="499"/>
      <c r="IC51" s="499"/>
      <c r="ID51" s="499"/>
      <c r="IE51" s="499"/>
      <c r="IF51" s="499"/>
      <c r="IG51" s="499"/>
      <c r="IH51" s="499"/>
      <c r="II51" s="499"/>
      <c r="IJ51" s="499"/>
      <c r="IK51" s="499"/>
      <c r="IL51" s="499"/>
      <c r="IM51" s="499"/>
      <c r="IN51" s="499"/>
      <c r="IO51" s="499"/>
      <c r="IP51" s="499"/>
      <c r="IQ51" s="499"/>
      <c r="IR51" s="499"/>
      <c r="IS51" s="499"/>
      <c r="IT51" s="499"/>
      <c r="IU51" s="499"/>
      <c r="IV51" s="499"/>
      <c r="IW51" s="499"/>
      <c r="IX51" s="499"/>
      <c r="IY51" s="499"/>
      <c r="IZ51" s="499"/>
      <c r="JA51" s="499"/>
      <c r="JB51" s="499"/>
      <c r="JC51" s="499"/>
      <c r="JD51" s="499"/>
      <c r="JE51" s="499"/>
      <c r="JF51" s="499"/>
      <c r="JG51" s="499"/>
      <c r="JH51" s="499"/>
      <c r="JI51" s="499"/>
      <c r="JJ51" s="499"/>
      <c r="JK51" s="499"/>
      <c r="JL51" s="499"/>
      <c r="JM51" s="499"/>
      <c r="JN51" s="499"/>
      <c r="JO51" s="499"/>
      <c r="JP51" s="499"/>
      <c r="JQ51" s="499"/>
      <c r="JR51" s="499"/>
      <c r="JS51" s="499"/>
      <c r="JT51" s="499"/>
      <c r="JU51" s="499"/>
      <c r="JV51" s="499"/>
      <c r="JW51" s="499"/>
      <c r="JX51" s="499"/>
      <c r="JY51" s="499"/>
      <c r="JZ51" s="499"/>
      <c r="KA51" s="499"/>
      <c r="KB51" s="499"/>
      <c r="KC51" s="499"/>
      <c r="KD51" s="499"/>
      <c r="KE51" s="499"/>
      <c r="KF51" s="499"/>
      <c r="KG51" s="499"/>
      <c r="KH51" s="499"/>
      <c r="KI51" s="499"/>
      <c r="KJ51" s="499"/>
      <c r="KK51" s="499"/>
      <c r="KL51" s="499"/>
      <c r="KM51" s="499"/>
      <c r="KN51" s="499"/>
      <c r="KO51" s="499"/>
      <c r="KP51" s="499"/>
      <c r="KQ51" s="499"/>
      <c r="KR51" s="499"/>
      <c r="KS51" s="499"/>
      <c r="KT51" s="499"/>
      <c r="KU51" s="499"/>
      <c r="KV51" s="499"/>
      <c r="KW51" s="499"/>
      <c r="KX51" s="499"/>
      <c r="KY51" s="499"/>
      <c r="KZ51" s="499"/>
      <c r="LA51" s="499"/>
      <c r="LB51" s="499"/>
      <c r="LC51" s="499"/>
      <c r="LD51" s="499"/>
      <c r="LE51" s="499"/>
      <c r="LF51" s="499"/>
      <c r="LG51" s="499"/>
      <c r="LH51" s="499"/>
      <c r="LI51" s="499"/>
      <c r="LJ51" s="499"/>
      <c r="LK51" s="499"/>
      <c r="LL51" s="499"/>
      <c r="LM51" s="499"/>
      <c r="LN51" s="499"/>
      <c r="LO51" s="499"/>
      <c r="LP51" s="499"/>
      <c r="LQ51" s="499"/>
      <c r="LR51" s="499"/>
      <c r="LS51" s="499"/>
      <c r="LT51" s="499"/>
      <c r="LU51" s="499"/>
      <c r="LV51" s="499"/>
      <c r="LW51" s="499"/>
      <c r="LX51" s="499"/>
      <c r="LY51" s="499"/>
      <c r="LZ51" s="499"/>
      <c r="MA51" s="499"/>
      <c r="MB51" s="499"/>
      <c r="MC51" s="499"/>
      <c r="MD51" s="499"/>
      <c r="ME51" s="499"/>
      <c r="MF51" s="499"/>
      <c r="MG51" s="499"/>
      <c r="MH51" s="499"/>
      <c r="MI51" s="499"/>
      <c r="MJ51" s="499"/>
      <c r="MK51" s="499"/>
      <c r="ML51" s="499"/>
      <c r="MM51" s="499"/>
      <c r="MN51" s="499"/>
      <c r="MO51" s="499"/>
      <c r="MP51" s="499"/>
      <c r="MQ51" s="499"/>
      <c r="MR51" s="499"/>
      <c r="MS51" s="499"/>
      <c r="MT51" s="499"/>
      <c r="MU51" s="499"/>
      <c r="MV51" s="499"/>
      <c r="MW51" s="499"/>
      <c r="MX51" s="499"/>
      <c r="MY51" s="499"/>
      <c r="MZ51" s="499"/>
      <c r="NA51" s="499"/>
      <c r="NB51" s="499"/>
      <c r="NC51" s="499"/>
      <c r="ND51" s="499"/>
      <c r="NE51" s="499"/>
      <c r="NF51" s="499"/>
      <c r="NG51" s="499"/>
      <c r="NH51" s="499"/>
      <c r="NI51" s="499"/>
      <c r="NJ51" s="499"/>
      <c r="NK51" s="499"/>
      <c r="NL51" s="499"/>
      <c r="NM51" s="499"/>
      <c r="NN51" s="499"/>
      <c r="NO51" s="499"/>
      <c r="NP51" s="499"/>
      <c r="NQ51" s="499"/>
      <c r="NR51" s="499"/>
      <c r="NS51" s="499"/>
      <c r="NT51" s="499"/>
      <c r="NU51" s="499"/>
      <c r="NV51" s="499"/>
      <c r="NW51" s="499"/>
      <c r="NX51" s="499"/>
      <c r="NY51" s="499"/>
      <c r="NZ51" s="499"/>
      <c r="OA51" s="499"/>
      <c r="OB51" s="499"/>
      <c r="OC51" s="499"/>
      <c r="OD51" s="499"/>
      <c r="OE51" s="499"/>
      <c r="OF51" s="499"/>
      <c r="OG51" s="499"/>
      <c r="OH51" s="499"/>
      <c r="OI51" s="499"/>
      <c r="OJ51" s="499"/>
      <c r="OK51" s="499"/>
      <c r="OL51" s="499"/>
      <c r="OM51" s="499"/>
      <c r="ON51" s="499"/>
      <c r="OO51" s="499"/>
      <c r="OP51" s="499"/>
      <c r="OQ51" s="499"/>
      <c r="OR51" s="499"/>
      <c r="OS51" s="499"/>
      <c r="OT51" s="499"/>
      <c r="OU51" s="499"/>
      <c r="OV51" s="499"/>
      <c r="OW51" s="499"/>
      <c r="OX51" s="499"/>
      <c r="OY51" s="499"/>
      <c r="OZ51" s="499"/>
      <c r="PA51" s="499"/>
      <c r="PB51" s="499"/>
      <c r="PC51" s="499"/>
      <c r="PD51" s="499"/>
      <c r="PE51" s="499"/>
      <c r="PF51" s="499"/>
      <c r="PG51" s="499"/>
      <c r="PH51" s="499"/>
      <c r="PI51" s="499"/>
      <c r="PJ51" s="499"/>
      <c r="PK51" s="499"/>
      <c r="PL51" s="499"/>
      <c r="PM51" s="499"/>
      <c r="PN51" s="499"/>
      <c r="PO51" s="499"/>
      <c r="PP51" s="499"/>
      <c r="PQ51" s="499"/>
      <c r="PR51" s="499"/>
      <c r="PS51" s="499"/>
      <c r="PT51" s="499"/>
      <c r="PU51" s="499"/>
      <c r="PV51" s="499"/>
      <c r="PW51" s="499"/>
      <c r="PX51" s="499"/>
      <c r="PY51" s="499"/>
      <c r="PZ51" s="499"/>
      <c r="QA51" s="499"/>
      <c r="QB51" s="499"/>
      <c r="QC51" s="499"/>
      <c r="QD51" s="499"/>
      <c r="QE51" s="499"/>
      <c r="QF51" s="499"/>
      <c r="QG51" s="499"/>
      <c r="QH51" s="499"/>
      <c r="QI51" s="499"/>
      <c r="QJ51" s="499"/>
      <c r="QK51" s="499"/>
      <c r="QL51" s="499"/>
      <c r="QM51" s="499"/>
      <c r="QN51" s="499"/>
      <c r="QO51" s="499"/>
      <c r="QP51" s="499"/>
      <c r="QQ51" s="499"/>
      <c r="QR51" s="499"/>
      <c r="QS51" s="499"/>
      <c r="QT51" s="499"/>
      <c r="QU51" s="499"/>
      <c r="QV51" s="499"/>
      <c r="QW51" s="499"/>
      <c r="QX51" s="499"/>
      <c r="QY51" s="499"/>
      <c r="QZ51" s="499"/>
      <c r="RA51" s="499"/>
      <c r="RB51" s="499"/>
      <c r="RC51" s="499"/>
      <c r="RD51" s="499"/>
      <c r="RE51" s="499"/>
      <c r="RF51" s="499"/>
      <c r="RG51" s="499"/>
      <c r="RH51" s="499"/>
      <c r="RI51" s="499"/>
      <c r="RJ51" s="499"/>
      <c r="RK51" s="499"/>
      <c r="RL51" s="499"/>
      <c r="RM51" s="499"/>
      <c r="RN51" s="499"/>
      <c r="RO51" s="499"/>
      <c r="RP51" s="499"/>
      <c r="RQ51" s="499"/>
      <c r="RR51" s="499"/>
      <c r="RS51" s="499"/>
      <c r="RT51" s="499"/>
      <c r="RU51" s="499"/>
      <c r="RV51" s="499"/>
      <c r="RW51" s="499"/>
      <c r="RX51" s="499"/>
      <c r="RY51" s="499"/>
      <c r="RZ51" s="499"/>
      <c r="SA51" s="499"/>
      <c r="SB51" s="499"/>
      <c r="SC51" s="499"/>
      <c r="SD51" s="499"/>
      <c r="SE51" s="499"/>
      <c r="SF51" s="499"/>
      <c r="SG51" s="499"/>
      <c r="SH51" s="499"/>
      <c r="SI51" s="499"/>
      <c r="SJ51" s="499"/>
      <c r="SK51" s="499"/>
      <c r="SL51" s="499"/>
      <c r="SM51" s="499"/>
      <c r="SN51" s="499"/>
      <c r="SO51" s="499"/>
      <c r="SP51" s="499"/>
      <c r="SQ51" s="499"/>
      <c r="SR51" s="499"/>
      <c r="SS51" s="499"/>
      <c r="ST51" s="499"/>
      <c r="SU51" s="499"/>
      <c r="SV51" s="499"/>
      <c r="SW51" s="499"/>
      <c r="SX51" s="499"/>
      <c r="SY51" s="499"/>
      <c r="SZ51" s="499"/>
      <c r="TA51" s="499"/>
      <c r="TB51" s="499"/>
      <c r="TC51" s="499"/>
      <c r="TD51" s="499"/>
      <c r="TE51" s="499"/>
      <c r="TF51" s="499"/>
      <c r="TG51" s="499"/>
      <c r="TH51" s="499"/>
      <c r="TI51" s="499"/>
      <c r="TJ51" s="499"/>
      <c r="TK51" s="499"/>
      <c r="TL51" s="499"/>
      <c r="TM51" s="499"/>
      <c r="TN51" s="499"/>
      <c r="TO51" s="499"/>
      <c r="TP51" s="499"/>
      <c r="TQ51" s="499"/>
      <c r="TR51" s="499"/>
      <c r="TS51" s="499"/>
      <c r="TT51" s="499"/>
      <c r="TU51" s="499"/>
      <c r="TV51" s="499"/>
      <c r="TW51" s="499"/>
      <c r="TX51" s="499"/>
      <c r="TY51" s="499"/>
      <c r="TZ51" s="499"/>
      <c r="UA51" s="499"/>
      <c r="UB51" s="499"/>
      <c r="UC51" s="499"/>
      <c r="UD51" s="499"/>
      <c r="UE51" s="499"/>
      <c r="UF51" s="499"/>
      <c r="UG51" s="499"/>
      <c r="UH51" s="499"/>
      <c r="UI51" s="499"/>
      <c r="UJ51" s="499"/>
      <c r="UK51" s="499"/>
      <c r="UL51" s="499"/>
      <c r="UM51" s="499"/>
      <c r="UN51" s="499"/>
      <c r="UO51" s="499"/>
      <c r="UP51" s="499"/>
      <c r="UQ51" s="499"/>
      <c r="UR51" s="499"/>
      <c r="US51" s="499"/>
      <c r="UT51" s="499"/>
      <c r="UU51" s="499"/>
      <c r="UV51" s="499"/>
      <c r="UW51" s="499"/>
      <c r="UX51" s="499"/>
      <c r="UY51" s="499"/>
      <c r="UZ51" s="499"/>
      <c r="VA51" s="499"/>
      <c r="VB51" s="499"/>
      <c r="VC51" s="499"/>
      <c r="VD51" s="499"/>
      <c r="VE51" s="499"/>
      <c r="VF51" s="499"/>
      <c r="VG51" s="499"/>
      <c r="VH51" s="499"/>
      <c r="VI51" s="499"/>
      <c r="VJ51" s="499"/>
      <c r="VK51" s="499"/>
      <c r="VL51" s="499"/>
      <c r="VM51" s="499"/>
      <c r="VN51" s="499"/>
      <c r="VO51" s="499"/>
      <c r="VP51" s="499"/>
      <c r="VQ51" s="499"/>
      <c r="VR51" s="499"/>
      <c r="VS51" s="499"/>
      <c r="VT51" s="499"/>
      <c r="VU51" s="499"/>
      <c r="VV51" s="499"/>
      <c r="VW51" s="499"/>
      <c r="VX51" s="499"/>
      <c r="VY51" s="499"/>
      <c r="VZ51" s="499"/>
      <c r="WA51" s="499"/>
      <c r="WB51" s="499"/>
      <c r="WC51" s="499"/>
      <c r="WD51" s="499"/>
      <c r="WE51" s="499"/>
      <c r="WF51" s="499"/>
    </row>
    <row r="52" spans="1:604" s="498" customFormat="1" ht="45" hidden="1" customHeight="1" x14ac:dyDescent="0.2">
      <c r="A52" s="486"/>
      <c r="B52" s="486"/>
      <c r="C52" s="450" t="s">
        <v>647</v>
      </c>
      <c r="D52" s="450" t="s">
        <v>192</v>
      </c>
      <c r="E52" s="435">
        <v>101616</v>
      </c>
      <c r="F52" s="445" t="s">
        <v>240</v>
      </c>
      <c r="G52" s="437">
        <f>'MC-DRE'!L54</f>
        <v>0</v>
      </c>
      <c r="H52" s="438" t="s">
        <v>2</v>
      </c>
      <c r="I52" s="479">
        <f t="shared" si="4"/>
        <v>5.51</v>
      </c>
      <c r="J52" s="439">
        <f t="shared" si="1"/>
        <v>7.02</v>
      </c>
      <c r="K52" s="476">
        <f t="shared" si="2"/>
        <v>0</v>
      </c>
      <c r="L52" s="446"/>
      <c r="M52" s="446"/>
      <c r="AE52" s="499"/>
      <c r="AF52" s="499"/>
      <c r="AG52" s="499"/>
      <c r="AH52" s="499"/>
      <c r="AI52" s="499"/>
      <c r="AJ52" s="499"/>
      <c r="AK52" s="499"/>
      <c r="AL52" s="499"/>
      <c r="AM52" s="499"/>
      <c r="AN52" s="499"/>
      <c r="AO52" s="499"/>
      <c r="AP52" s="499"/>
      <c r="AQ52" s="499"/>
      <c r="AR52" s="499"/>
      <c r="AS52" s="499"/>
      <c r="AT52" s="499"/>
      <c r="AU52" s="499"/>
      <c r="AV52" s="499"/>
      <c r="AW52" s="499"/>
      <c r="AX52" s="499"/>
      <c r="AY52" s="499"/>
      <c r="AZ52" s="499"/>
      <c r="BA52" s="499"/>
      <c r="BB52" s="499"/>
      <c r="BC52" s="499"/>
      <c r="BD52" s="499"/>
      <c r="BE52" s="499"/>
      <c r="BF52" s="499"/>
      <c r="BG52" s="499"/>
      <c r="BH52" s="499"/>
      <c r="BI52" s="499"/>
      <c r="BJ52" s="499"/>
      <c r="BK52" s="499"/>
      <c r="BL52" s="499"/>
      <c r="BM52" s="499"/>
      <c r="BN52" s="499"/>
      <c r="BO52" s="499"/>
      <c r="BP52" s="499"/>
      <c r="BQ52" s="499"/>
      <c r="BR52" s="499"/>
      <c r="BS52" s="499"/>
      <c r="BT52" s="499"/>
      <c r="BU52" s="499"/>
      <c r="BV52" s="499"/>
      <c r="BW52" s="499"/>
      <c r="BX52" s="499"/>
      <c r="BY52" s="499"/>
      <c r="BZ52" s="499"/>
      <c r="CA52" s="499"/>
      <c r="CB52" s="499"/>
      <c r="CC52" s="499"/>
      <c r="CD52" s="499"/>
      <c r="CE52" s="499"/>
      <c r="CF52" s="499"/>
      <c r="CG52" s="499"/>
      <c r="CH52" s="499"/>
      <c r="CI52" s="499"/>
      <c r="CJ52" s="499"/>
      <c r="CK52" s="499"/>
      <c r="CL52" s="499"/>
      <c r="CM52" s="499"/>
      <c r="CN52" s="499"/>
      <c r="CO52" s="499"/>
      <c r="CP52" s="499"/>
      <c r="CQ52" s="499"/>
      <c r="CR52" s="499"/>
      <c r="CS52" s="499"/>
      <c r="CT52" s="499"/>
      <c r="CU52" s="499"/>
      <c r="CV52" s="499"/>
      <c r="CW52" s="499"/>
      <c r="CX52" s="499"/>
      <c r="CY52" s="499"/>
      <c r="CZ52" s="499"/>
      <c r="DA52" s="499"/>
      <c r="DB52" s="499"/>
      <c r="DC52" s="499"/>
      <c r="DD52" s="499"/>
      <c r="DE52" s="499"/>
      <c r="DF52" s="499"/>
      <c r="DG52" s="499"/>
      <c r="DH52" s="499"/>
      <c r="DI52" s="499"/>
      <c r="DJ52" s="499"/>
      <c r="DK52" s="499"/>
      <c r="DL52" s="499"/>
      <c r="DM52" s="499"/>
      <c r="DN52" s="499"/>
      <c r="DO52" s="499"/>
      <c r="DP52" s="499"/>
      <c r="DQ52" s="499"/>
      <c r="DR52" s="499"/>
      <c r="DS52" s="499"/>
      <c r="DT52" s="499"/>
      <c r="DU52" s="499"/>
      <c r="DV52" s="499"/>
      <c r="DW52" s="499"/>
      <c r="DX52" s="499"/>
      <c r="DY52" s="499"/>
      <c r="DZ52" s="499"/>
      <c r="EA52" s="499"/>
      <c r="EB52" s="499"/>
      <c r="EC52" s="499"/>
      <c r="ED52" s="499"/>
      <c r="EE52" s="499"/>
      <c r="EF52" s="499"/>
      <c r="EG52" s="499"/>
      <c r="EH52" s="499"/>
      <c r="EI52" s="499"/>
      <c r="EJ52" s="499"/>
      <c r="EK52" s="499"/>
      <c r="EL52" s="499"/>
      <c r="EM52" s="499"/>
      <c r="EN52" s="499"/>
      <c r="EO52" s="499"/>
      <c r="EP52" s="499"/>
      <c r="EQ52" s="499"/>
      <c r="ER52" s="499"/>
      <c r="ES52" s="499"/>
      <c r="ET52" s="499"/>
      <c r="EU52" s="499"/>
      <c r="EV52" s="499"/>
      <c r="EW52" s="499"/>
      <c r="EX52" s="499"/>
      <c r="EY52" s="499"/>
      <c r="EZ52" s="499"/>
      <c r="FA52" s="499"/>
      <c r="FB52" s="499"/>
      <c r="FC52" s="499"/>
      <c r="FD52" s="499"/>
      <c r="FE52" s="499"/>
      <c r="FF52" s="499"/>
      <c r="FG52" s="499"/>
      <c r="FH52" s="499"/>
      <c r="FI52" s="499"/>
      <c r="FJ52" s="499"/>
      <c r="FK52" s="499"/>
      <c r="FL52" s="499"/>
      <c r="FM52" s="499"/>
      <c r="FN52" s="499"/>
      <c r="FO52" s="499"/>
      <c r="FP52" s="499"/>
      <c r="FQ52" s="499"/>
      <c r="FR52" s="499"/>
      <c r="FS52" s="499"/>
      <c r="FT52" s="499"/>
      <c r="FU52" s="499"/>
      <c r="FV52" s="499"/>
      <c r="FW52" s="499"/>
      <c r="FX52" s="499"/>
      <c r="FY52" s="499"/>
      <c r="FZ52" s="499"/>
      <c r="GA52" s="499"/>
      <c r="GB52" s="499"/>
      <c r="GC52" s="499"/>
      <c r="GD52" s="499"/>
      <c r="GE52" s="499"/>
      <c r="GF52" s="499"/>
      <c r="GG52" s="499"/>
      <c r="GH52" s="499"/>
      <c r="GI52" s="499"/>
      <c r="GJ52" s="499"/>
      <c r="GK52" s="499"/>
      <c r="GL52" s="499"/>
      <c r="GM52" s="499"/>
      <c r="GN52" s="499"/>
      <c r="GO52" s="499"/>
      <c r="GP52" s="499"/>
      <c r="GQ52" s="499"/>
      <c r="GR52" s="499"/>
      <c r="GS52" s="499"/>
      <c r="GT52" s="499"/>
      <c r="GU52" s="499"/>
      <c r="GV52" s="499"/>
      <c r="GW52" s="499"/>
      <c r="GX52" s="499"/>
      <c r="GY52" s="499"/>
      <c r="GZ52" s="499"/>
      <c r="HA52" s="499"/>
      <c r="HB52" s="499"/>
      <c r="HC52" s="499"/>
      <c r="HD52" s="499"/>
      <c r="HE52" s="499"/>
      <c r="HF52" s="499"/>
      <c r="HG52" s="499"/>
      <c r="HH52" s="499"/>
      <c r="HI52" s="499"/>
      <c r="HJ52" s="499"/>
      <c r="HK52" s="499"/>
      <c r="HL52" s="499"/>
      <c r="HM52" s="499"/>
      <c r="HN52" s="499"/>
      <c r="HO52" s="499"/>
      <c r="HP52" s="499"/>
      <c r="HQ52" s="499"/>
      <c r="HR52" s="499"/>
      <c r="HS52" s="499"/>
      <c r="HT52" s="499"/>
      <c r="HU52" s="499"/>
      <c r="HV52" s="499"/>
      <c r="HW52" s="499"/>
      <c r="HX52" s="499"/>
      <c r="HY52" s="499"/>
      <c r="HZ52" s="499"/>
      <c r="IA52" s="499"/>
      <c r="IB52" s="499"/>
      <c r="IC52" s="499"/>
      <c r="ID52" s="499"/>
      <c r="IE52" s="499"/>
      <c r="IF52" s="499"/>
      <c r="IG52" s="499"/>
      <c r="IH52" s="499"/>
      <c r="II52" s="499"/>
      <c r="IJ52" s="499"/>
      <c r="IK52" s="499"/>
      <c r="IL52" s="499"/>
      <c r="IM52" s="499"/>
      <c r="IN52" s="499"/>
      <c r="IO52" s="499"/>
      <c r="IP52" s="499"/>
      <c r="IQ52" s="499"/>
      <c r="IR52" s="499"/>
      <c r="IS52" s="499"/>
      <c r="IT52" s="499"/>
      <c r="IU52" s="499"/>
      <c r="IV52" s="499"/>
      <c r="IW52" s="499"/>
      <c r="IX52" s="499"/>
      <c r="IY52" s="499"/>
      <c r="IZ52" s="499"/>
      <c r="JA52" s="499"/>
      <c r="JB52" s="499"/>
      <c r="JC52" s="499"/>
      <c r="JD52" s="499"/>
      <c r="JE52" s="499"/>
      <c r="JF52" s="499"/>
      <c r="JG52" s="499"/>
      <c r="JH52" s="499"/>
      <c r="JI52" s="499"/>
      <c r="JJ52" s="499"/>
      <c r="JK52" s="499"/>
      <c r="JL52" s="499"/>
      <c r="JM52" s="499"/>
      <c r="JN52" s="499"/>
      <c r="JO52" s="499"/>
      <c r="JP52" s="499"/>
      <c r="JQ52" s="499"/>
      <c r="JR52" s="499"/>
      <c r="JS52" s="499"/>
      <c r="JT52" s="499"/>
      <c r="JU52" s="499"/>
      <c r="JV52" s="499"/>
      <c r="JW52" s="499"/>
      <c r="JX52" s="499"/>
      <c r="JY52" s="499"/>
      <c r="JZ52" s="499"/>
      <c r="KA52" s="499"/>
      <c r="KB52" s="499"/>
      <c r="KC52" s="499"/>
      <c r="KD52" s="499"/>
      <c r="KE52" s="499"/>
      <c r="KF52" s="499"/>
      <c r="KG52" s="499"/>
      <c r="KH52" s="499"/>
      <c r="KI52" s="499"/>
      <c r="KJ52" s="499"/>
      <c r="KK52" s="499"/>
      <c r="KL52" s="499"/>
      <c r="KM52" s="499"/>
      <c r="KN52" s="499"/>
      <c r="KO52" s="499"/>
      <c r="KP52" s="499"/>
      <c r="KQ52" s="499"/>
      <c r="KR52" s="499"/>
      <c r="KS52" s="499"/>
      <c r="KT52" s="499"/>
      <c r="KU52" s="499"/>
      <c r="KV52" s="499"/>
      <c r="KW52" s="499"/>
      <c r="KX52" s="499"/>
      <c r="KY52" s="499"/>
      <c r="KZ52" s="499"/>
      <c r="LA52" s="499"/>
      <c r="LB52" s="499"/>
      <c r="LC52" s="499"/>
      <c r="LD52" s="499"/>
      <c r="LE52" s="499"/>
      <c r="LF52" s="499"/>
      <c r="LG52" s="499"/>
      <c r="LH52" s="499"/>
      <c r="LI52" s="499"/>
      <c r="LJ52" s="499"/>
      <c r="LK52" s="499"/>
      <c r="LL52" s="499"/>
      <c r="LM52" s="499"/>
      <c r="LN52" s="499"/>
      <c r="LO52" s="499"/>
      <c r="LP52" s="499"/>
      <c r="LQ52" s="499"/>
      <c r="LR52" s="499"/>
      <c r="LS52" s="499"/>
      <c r="LT52" s="499"/>
      <c r="LU52" s="499"/>
      <c r="LV52" s="499"/>
      <c r="LW52" s="499"/>
      <c r="LX52" s="499"/>
      <c r="LY52" s="499"/>
      <c r="LZ52" s="499"/>
      <c r="MA52" s="499"/>
      <c r="MB52" s="499"/>
      <c r="MC52" s="499"/>
      <c r="MD52" s="499"/>
      <c r="ME52" s="499"/>
      <c r="MF52" s="499"/>
      <c r="MG52" s="499"/>
      <c r="MH52" s="499"/>
      <c r="MI52" s="499"/>
      <c r="MJ52" s="499"/>
      <c r="MK52" s="499"/>
      <c r="ML52" s="499"/>
      <c r="MM52" s="499"/>
      <c r="MN52" s="499"/>
      <c r="MO52" s="499"/>
      <c r="MP52" s="499"/>
      <c r="MQ52" s="499"/>
      <c r="MR52" s="499"/>
      <c r="MS52" s="499"/>
      <c r="MT52" s="499"/>
      <c r="MU52" s="499"/>
      <c r="MV52" s="499"/>
      <c r="MW52" s="499"/>
      <c r="MX52" s="499"/>
      <c r="MY52" s="499"/>
      <c r="MZ52" s="499"/>
      <c r="NA52" s="499"/>
      <c r="NB52" s="499"/>
      <c r="NC52" s="499"/>
      <c r="ND52" s="499"/>
      <c r="NE52" s="499"/>
      <c r="NF52" s="499"/>
      <c r="NG52" s="499"/>
      <c r="NH52" s="499"/>
      <c r="NI52" s="499"/>
      <c r="NJ52" s="499"/>
      <c r="NK52" s="499"/>
      <c r="NL52" s="499"/>
      <c r="NM52" s="499"/>
      <c r="NN52" s="499"/>
      <c r="NO52" s="499"/>
      <c r="NP52" s="499"/>
      <c r="NQ52" s="499"/>
      <c r="NR52" s="499"/>
      <c r="NS52" s="499"/>
      <c r="NT52" s="499"/>
      <c r="NU52" s="499"/>
      <c r="NV52" s="499"/>
      <c r="NW52" s="499"/>
      <c r="NX52" s="499"/>
      <c r="NY52" s="499"/>
      <c r="NZ52" s="499"/>
      <c r="OA52" s="499"/>
      <c r="OB52" s="499"/>
      <c r="OC52" s="499"/>
      <c r="OD52" s="499"/>
      <c r="OE52" s="499"/>
      <c r="OF52" s="499"/>
      <c r="OG52" s="499"/>
      <c r="OH52" s="499"/>
      <c r="OI52" s="499"/>
      <c r="OJ52" s="499"/>
      <c r="OK52" s="499"/>
      <c r="OL52" s="499"/>
      <c r="OM52" s="499"/>
      <c r="ON52" s="499"/>
      <c r="OO52" s="499"/>
      <c r="OP52" s="499"/>
      <c r="OQ52" s="499"/>
      <c r="OR52" s="499"/>
      <c r="OS52" s="499"/>
      <c r="OT52" s="499"/>
      <c r="OU52" s="499"/>
      <c r="OV52" s="499"/>
      <c r="OW52" s="499"/>
      <c r="OX52" s="499"/>
      <c r="OY52" s="499"/>
      <c r="OZ52" s="499"/>
      <c r="PA52" s="499"/>
      <c r="PB52" s="499"/>
      <c r="PC52" s="499"/>
      <c r="PD52" s="499"/>
      <c r="PE52" s="499"/>
      <c r="PF52" s="499"/>
      <c r="PG52" s="499"/>
      <c r="PH52" s="499"/>
      <c r="PI52" s="499"/>
      <c r="PJ52" s="499"/>
      <c r="PK52" s="499"/>
      <c r="PL52" s="499"/>
      <c r="PM52" s="499"/>
      <c r="PN52" s="499"/>
      <c r="PO52" s="499"/>
      <c r="PP52" s="499"/>
      <c r="PQ52" s="499"/>
      <c r="PR52" s="499"/>
      <c r="PS52" s="499"/>
      <c r="PT52" s="499"/>
      <c r="PU52" s="499"/>
      <c r="PV52" s="499"/>
      <c r="PW52" s="499"/>
      <c r="PX52" s="499"/>
      <c r="PY52" s="499"/>
      <c r="PZ52" s="499"/>
      <c r="QA52" s="499"/>
      <c r="QB52" s="499"/>
      <c r="QC52" s="499"/>
      <c r="QD52" s="499"/>
      <c r="QE52" s="499"/>
      <c r="QF52" s="499"/>
      <c r="QG52" s="499"/>
      <c r="QH52" s="499"/>
      <c r="QI52" s="499"/>
      <c r="QJ52" s="499"/>
      <c r="QK52" s="499"/>
      <c r="QL52" s="499"/>
      <c r="QM52" s="499"/>
      <c r="QN52" s="499"/>
      <c r="QO52" s="499"/>
      <c r="QP52" s="499"/>
      <c r="QQ52" s="499"/>
      <c r="QR52" s="499"/>
      <c r="QS52" s="499"/>
      <c r="QT52" s="499"/>
      <c r="QU52" s="499"/>
      <c r="QV52" s="499"/>
      <c r="QW52" s="499"/>
      <c r="QX52" s="499"/>
      <c r="QY52" s="499"/>
      <c r="QZ52" s="499"/>
      <c r="RA52" s="499"/>
      <c r="RB52" s="499"/>
      <c r="RC52" s="499"/>
      <c r="RD52" s="499"/>
      <c r="RE52" s="499"/>
      <c r="RF52" s="499"/>
      <c r="RG52" s="499"/>
      <c r="RH52" s="499"/>
      <c r="RI52" s="499"/>
      <c r="RJ52" s="499"/>
      <c r="RK52" s="499"/>
      <c r="RL52" s="499"/>
      <c r="RM52" s="499"/>
      <c r="RN52" s="499"/>
      <c r="RO52" s="499"/>
      <c r="RP52" s="499"/>
      <c r="RQ52" s="499"/>
      <c r="RR52" s="499"/>
      <c r="RS52" s="499"/>
      <c r="RT52" s="499"/>
      <c r="RU52" s="499"/>
      <c r="RV52" s="499"/>
      <c r="RW52" s="499"/>
      <c r="RX52" s="499"/>
      <c r="RY52" s="499"/>
      <c r="RZ52" s="499"/>
      <c r="SA52" s="499"/>
      <c r="SB52" s="499"/>
      <c r="SC52" s="499"/>
      <c r="SD52" s="499"/>
      <c r="SE52" s="499"/>
      <c r="SF52" s="499"/>
      <c r="SG52" s="499"/>
      <c r="SH52" s="499"/>
      <c r="SI52" s="499"/>
      <c r="SJ52" s="499"/>
      <c r="SK52" s="499"/>
      <c r="SL52" s="499"/>
      <c r="SM52" s="499"/>
      <c r="SN52" s="499"/>
      <c r="SO52" s="499"/>
      <c r="SP52" s="499"/>
      <c r="SQ52" s="499"/>
      <c r="SR52" s="499"/>
      <c r="SS52" s="499"/>
      <c r="ST52" s="499"/>
      <c r="SU52" s="499"/>
      <c r="SV52" s="499"/>
      <c r="SW52" s="499"/>
      <c r="SX52" s="499"/>
      <c r="SY52" s="499"/>
      <c r="SZ52" s="499"/>
      <c r="TA52" s="499"/>
      <c r="TB52" s="499"/>
      <c r="TC52" s="499"/>
      <c r="TD52" s="499"/>
      <c r="TE52" s="499"/>
      <c r="TF52" s="499"/>
      <c r="TG52" s="499"/>
      <c r="TH52" s="499"/>
      <c r="TI52" s="499"/>
      <c r="TJ52" s="499"/>
      <c r="TK52" s="499"/>
      <c r="TL52" s="499"/>
      <c r="TM52" s="499"/>
      <c r="TN52" s="499"/>
      <c r="TO52" s="499"/>
      <c r="TP52" s="499"/>
      <c r="TQ52" s="499"/>
      <c r="TR52" s="499"/>
      <c r="TS52" s="499"/>
      <c r="TT52" s="499"/>
      <c r="TU52" s="499"/>
      <c r="TV52" s="499"/>
      <c r="TW52" s="499"/>
      <c r="TX52" s="499"/>
      <c r="TY52" s="499"/>
      <c r="TZ52" s="499"/>
      <c r="UA52" s="499"/>
      <c r="UB52" s="499"/>
      <c r="UC52" s="499"/>
      <c r="UD52" s="499"/>
      <c r="UE52" s="499"/>
      <c r="UF52" s="499"/>
      <c r="UG52" s="499"/>
      <c r="UH52" s="499"/>
      <c r="UI52" s="499"/>
      <c r="UJ52" s="499"/>
      <c r="UK52" s="499"/>
      <c r="UL52" s="499"/>
      <c r="UM52" s="499"/>
      <c r="UN52" s="499"/>
      <c r="UO52" s="499"/>
      <c r="UP52" s="499"/>
      <c r="UQ52" s="499"/>
      <c r="UR52" s="499"/>
      <c r="US52" s="499"/>
      <c r="UT52" s="499"/>
      <c r="UU52" s="499"/>
      <c r="UV52" s="499"/>
      <c r="UW52" s="499"/>
      <c r="UX52" s="499"/>
      <c r="UY52" s="499"/>
      <c r="UZ52" s="499"/>
      <c r="VA52" s="499"/>
      <c r="VB52" s="499"/>
      <c r="VC52" s="499"/>
      <c r="VD52" s="499"/>
      <c r="VE52" s="499"/>
      <c r="VF52" s="499"/>
      <c r="VG52" s="499"/>
      <c r="VH52" s="499"/>
      <c r="VI52" s="499"/>
      <c r="VJ52" s="499"/>
      <c r="VK52" s="499"/>
      <c r="VL52" s="499"/>
      <c r="VM52" s="499"/>
      <c r="VN52" s="499"/>
      <c r="VO52" s="499"/>
      <c r="VP52" s="499"/>
      <c r="VQ52" s="499"/>
      <c r="VR52" s="499"/>
      <c r="VS52" s="499"/>
      <c r="VT52" s="499"/>
      <c r="VU52" s="499"/>
      <c r="VV52" s="499"/>
      <c r="VW52" s="499"/>
      <c r="VX52" s="499"/>
      <c r="VY52" s="499"/>
      <c r="VZ52" s="499"/>
      <c r="WA52" s="499"/>
      <c r="WB52" s="499"/>
      <c r="WC52" s="499"/>
      <c r="WD52" s="499"/>
      <c r="WE52" s="499"/>
      <c r="WF52" s="499"/>
    </row>
    <row r="53" spans="1:604" ht="45" hidden="1" customHeight="1" x14ac:dyDescent="0.2">
      <c r="A53" s="486"/>
      <c r="B53" s="486"/>
      <c r="C53" s="450" t="s">
        <v>648</v>
      </c>
      <c r="D53" s="450" t="s">
        <v>190</v>
      </c>
      <c r="E53" s="435">
        <v>260278</v>
      </c>
      <c r="F53" s="442" t="s">
        <v>365</v>
      </c>
      <c r="G53" s="437">
        <f>'MC-DRE'!M54</f>
        <v>0</v>
      </c>
      <c r="H53" s="437" t="s">
        <v>2</v>
      </c>
      <c r="I53" s="479">
        <f t="shared" si="4"/>
        <v>38.380000000000003</v>
      </c>
      <c r="J53" s="439">
        <f t="shared" si="1"/>
        <v>48.92</v>
      </c>
      <c r="K53" s="476">
        <f t="shared" si="2"/>
        <v>0</v>
      </c>
      <c r="L53" s="446"/>
      <c r="M53" s="446"/>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4"/>
      <c r="BD53" s="444"/>
      <c r="BE53" s="444"/>
      <c r="BF53" s="444"/>
      <c r="BG53" s="444"/>
      <c r="BH53" s="444"/>
      <c r="BI53" s="444"/>
      <c r="BJ53" s="444"/>
      <c r="BK53" s="444"/>
      <c r="BL53" s="444"/>
      <c r="BM53" s="444"/>
      <c r="BN53" s="444"/>
      <c r="BO53" s="444"/>
      <c r="BP53" s="444"/>
      <c r="BQ53" s="444"/>
      <c r="BR53" s="444"/>
      <c r="BS53" s="444"/>
      <c r="BT53" s="444"/>
      <c r="BU53" s="444"/>
      <c r="BV53" s="444"/>
      <c r="BW53" s="444"/>
      <c r="BX53" s="444"/>
      <c r="BY53" s="444"/>
      <c r="BZ53" s="444"/>
      <c r="CA53" s="444"/>
      <c r="CB53" s="444"/>
      <c r="CC53" s="444"/>
      <c r="CD53" s="444"/>
      <c r="CE53" s="444"/>
      <c r="CF53" s="444"/>
      <c r="CG53" s="444"/>
      <c r="CH53" s="444"/>
      <c r="CI53" s="444"/>
      <c r="CJ53" s="444"/>
      <c r="CK53" s="444"/>
      <c r="CL53" s="444"/>
      <c r="CM53" s="444"/>
      <c r="CN53" s="444"/>
      <c r="CO53" s="444"/>
      <c r="CP53" s="444"/>
      <c r="CQ53" s="444"/>
      <c r="CR53" s="444"/>
      <c r="CS53" s="444"/>
      <c r="CT53" s="444"/>
      <c r="CU53" s="444"/>
      <c r="CV53" s="444"/>
      <c r="CW53" s="444"/>
      <c r="CX53" s="444"/>
      <c r="CY53" s="444"/>
      <c r="CZ53" s="444"/>
      <c r="DA53" s="444"/>
      <c r="DB53" s="444"/>
      <c r="DC53" s="444"/>
      <c r="DD53" s="444"/>
      <c r="DE53" s="444"/>
      <c r="DF53" s="444"/>
      <c r="DG53" s="444"/>
      <c r="DH53" s="444"/>
      <c r="DI53" s="444"/>
      <c r="DJ53" s="444"/>
      <c r="DK53" s="444"/>
      <c r="DL53" s="444"/>
      <c r="DM53" s="444"/>
      <c r="DN53" s="444"/>
      <c r="DO53" s="444"/>
      <c r="DP53" s="444"/>
      <c r="DQ53" s="444"/>
      <c r="DR53" s="444"/>
      <c r="DS53" s="444"/>
      <c r="DT53" s="444"/>
      <c r="DU53" s="444"/>
      <c r="DV53" s="444"/>
      <c r="DW53" s="444"/>
      <c r="DX53" s="444"/>
      <c r="DY53" s="444"/>
      <c r="DZ53" s="444"/>
      <c r="EA53" s="444"/>
      <c r="EB53" s="444"/>
      <c r="EC53" s="444"/>
      <c r="ED53" s="444"/>
      <c r="EE53" s="444"/>
      <c r="EF53" s="444"/>
      <c r="EG53" s="444"/>
      <c r="EH53" s="444"/>
      <c r="EI53" s="444"/>
      <c r="EJ53" s="444"/>
      <c r="EK53" s="444"/>
      <c r="EL53" s="444"/>
      <c r="EM53" s="444"/>
      <c r="EN53" s="444"/>
      <c r="EO53" s="444"/>
      <c r="EP53" s="444"/>
      <c r="EQ53" s="444"/>
      <c r="ER53" s="444"/>
      <c r="ES53" s="444"/>
      <c r="ET53" s="444"/>
      <c r="EU53" s="444"/>
      <c r="EV53" s="444"/>
      <c r="EW53" s="444"/>
      <c r="EX53" s="444"/>
      <c r="EY53" s="444"/>
      <c r="EZ53" s="444"/>
      <c r="FA53" s="444"/>
      <c r="FB53" s="444"/>
      <c r="FC53" s="444"/>
      <c r="FD53" s="444"/>
      <c r="FE53" s="444"/>
      <c r="FF53" s="444"/>
      <c r="FG53" s="444"/>
      <c r="FH53" s="444"/>
      <c r="FI53" s="444"/>
      <c r="FJ53" s="444"/>
      <c r="FK53" s="444"/>
      <c r="FL53" s="444"/>
      <c r="FM53" s="444"/>
      <c r="FN53" s="444"/>
      <c r="FO53" s="444"/>
      <c r="FP53" s="444"/>
      <c r="FQ53" s="444"/>
      <c r="FR53" s="444"/>
      <c r="FS53" s="444"/>
      <c r="FT53" s="444"/>
      <c r="FU53" s="444"/>
      <c r="FV53" s="444"/>
      <c r="FW53" s="444"/>
      <c r="FX53" s="444"/>
      <c r="FY53" s="444"/>
      <c r="FZ53" s="444"/>
      <c r="GA53" s="444"/>
      <c r="GB53" s="444"/>
      <c r="GC53" s="444"/>
      <c r="GD53" s="444"/>
      <c r="GE53" s="444"/>
      <c r="GF53" s="444"/>
      <c r="GG53" s="444"/>
      <c r="GH53" s="444"/>
      <c r="GI53" s="444"/>
      <c r="GJ53" s="444"/>
      <c r="GK53" s="444"/>
      <c r="GL53" s="444"/>
      <c r="GM53" s="444"/>
      <c r="GN53" s="444"/>
      <c r="GO53" s="444"/>
      <c r="GP53" s="444"/>
      <c r="GQ53" s="444"/>
      <c r="GR53" s="444"/>
      <c r="GS53" s="444"/>
      <c r="GT53" s="444"/>
      <c r="GU53" s="444"/>
      <c r="GV53" s="444"/>
      <c r="GW53" s="444"/>
      <c r="GX53" s="444"/>
      <c r="GY53" s="444"/>
      <c r="GZ53" s="444"/>
      <c r="HA53" s="444"/>
      <c r="HB53" s="444"/>
      <c r="HC53" s="444"/>
      <c r="HD53" s="444"/>
      <c r="HE53" s="444"/>
      <c r="HF53" s="444"/>
      <c r="HG53" s="444"/>
      <c r="HH53" s="444"/>
      <c r="HI53" s="444"/>
      <c r="HJ53" s="444"/>
      <c r="HK53" s="444"/>
      <c r="HL53" s="444"/>
      <c r="HM53" s="444"/>
      <c r="HN53" s="444"/>
      <c r="HO53" s="444"/>
      <c r="HP53" s="444"/>
      <c r="HQ53" s="444"/>
      <c r="HR53" s="444"/>
      <c r="HS53" s="444"/>
      <c r="HT53" s="444"/>
      <c r="HU53" s="444"/>
      <c r="HV53" s="444"/>
      <c r="HW53" s="444"/>
      <c r="HX53" s="444"/>
      <c r="HY53" s="444"/>
      <c r="HZ53" s="444"/>
      <c r="IA53" s="444"/>
      <c r="IB53" s="444"/>
      <c r="IC53" s="444"/>
      <c r="ID53" s="444"/>
      <c r="IE53" s="444"/>
      <c r="IF53" s="444"/>
      <c r="IG53" s="444"/>
      <c r="IH53" s="444"/>
      <c r="II53" s="444"/>
      <c r="IJ53" s="444"/>
      <c r="IK53" s="444"/>
      <c r="IL53" s="444"/>
      <c r="IM53" s="444"/>
      <c r="IN53" s="444"/>
      <c r="IO53" s="444"/>
      <c r="IP53" s="444"/>
      <c r="IQ53" s="444"/>
      <c r="IR53" s="444"/>
      <c r="IS53" s="444"/>
      <c r="IT53" s="444"/>
      <c r="IU53" s="444"/>
      <c r="IV53" s="444"/>
      <c r="IW53" s="444"/>
      <c r="IX53" s="444"/>
      <c r="IY53" s="444"/>
      <c r="IZ53" s="444"/>
      <c r="JA53" s="444"/>
      <c r="JB53" s="444"/>
      <c r="JC53" s="444"/>
      <c r="JD53" s="444"/>
      <c r="JE53" s="444"/>
      <c r="JF53" s="444"/>
      <c r="JG53" s="444"/>
      <c r="JH53" s="444"/>
      <c r="JI53" s="444"/>
      <c r="JJ53" s="444"/>
      <c r="JK53" s="444"/>
      <c r="JL53" s="444"/>
      <c r="JM53" s="444"/>
      <c r="JN53" s="444"/>
      <c r="JO53" s="444"/>
      <c r="JP53" s="444"/>
      <c r="JQ53" s="444"/>
      <c r="JR53" s="444"/>
      <c r="JS53" s="444"/>
      <c r="JT53" s="444"/>
      <c r="JU53" s="444"/>
      <c r="JV53" s="444"/>
      <c r="JW53" s="444"/>
      <c r="JX53" s="444"/>
      <c r="JY53" s="444"/>
      <c r="JZ53" s="444"/>
      <c r="KA53" s="444"/>
      <c r="KB53" s="444"/>
      <c r="KC53" s="444"/>
      <c r="KD53" s="444"/>
      <c r="KE53" s="444"/>
      <c r="KF53" s="444"/>
      <c r="KG53" s="444"/>
      <c r="KH53" s="444"/>
      <c r="KI53" s="444"/>
      <c r="KJ53" s="444"/>
      <c r="KK53" s="444"/>
      <c r="KL53" s="444"/>
      <c r="KM53" s="444"/>
      <c r="KN53" s="444"/>
      <c r="KO53" s="444"/>
      <c r="KP53" s="444"/>
      <c r="KQ53" s="444"/>
      <c r="KR53" s="444"/>
      <c r="KS53" s="444"/>
      <c r="KT53" s="444"/>
      <c r="KU53" s="444"/>
      <c r="KV53" s="444"/>
      <c r="KW53" s="444"/>
      <c r="KX53" s="444"/>
      <c r="KY53" s="444"/>
      <c r="KZ53" s="444"/>
      <c r="LA53" s="444"/>
      <c r="LB53" s="444"/>
      <c r="LC53" s="444"/>
      <c r="LD53" s="444"/>
      <c r="LE53" s="444"/>
      <c r="LF53" s="444"/>
      <c r="LG53" s="444"/>
      <c r="LH53" s="444"/>
      <c r="LI53" s="444"/>
      <c r="LJ53" s="444"/>
      <c r="LK53" s="444"/>
      <c r="LL53" s="444"/>
      <c r="LM53" s="444"/>
      <c r="LN53" s="444"/>
      <c r="LO53" s="444"/>
      <c r="LP53" s="444"/>
      <c r="LQ53" s="444"/>
      <c r="LR53" s="444"/>
      <c r="LS53" s="444"/>
      <c r="LT53" s="444"/>
      <c r="LU53" s="444"/>
      <c r="LV53" s="444"/>
      <c r="LW53" s="444"/>
      <c r="LX53" s="444"/>
      <c r="LY53" s="444"/>
      <c r="LZ53" s="444"/>
      <c r="MA53" s="444"/>
      <c r="MB53" s="444"/>
      <c r="MC53" s="444"/>
      <c r="MD53" s="444"/>
      <c r="ME53" s="444"/>
      <c r="MF53" s="444"/>
      <c r="MG53" s="444"/>
      <c r="MH53" s="444"/>
      <c r="MI53" s="444"/>
      <c r="MJ53" s="444"/>
      <c r="MK53" s="444"/>
      <c r="ML53" s="444"/>
      <c r="MM53" s="444"/>
      <c r="MN53" s="444"/>
      <c r="MO53" s="444"/>
      <c r="MP53" s="444"/>
      <c r="MQ53" s="444"/>
      <c r="MR53" s="444"/>
      <c r="MS53" s="444"/>
      <c r="MT53" s="444"/>
      <c r="MU53" s="444"/>
      <c r="MV53" s="444"/>
      <c r="MW53" s="444"/>
      <c r="MX53" s="444"/>
      <c r="MY53" s="444"/>
      <c r="MZ53" s="444"/>
      <c r="NA53" s="444"/>
      <c r="NB53" s="444"/>
      <c r="NC53" s="444"/>
      <c r="ND53" s="444"/>
      <c r="NE53" s="444"/>
      <c r="NF53" s="444"/>
      <c r="NG53" s="444"/>
      <c r="NH53" s="444"/>
      <c r="NI53" s="444"/>
      <c r="NJ53" s="444"/>
      <c r="NK53" s="444"/>
      <c r="NL53" s="444"/>
      <c r="NM53" s="444"/>
      <c r="NN53" s="444"/>
      <c r="NO53" s="444"/>
      <c r="NP53" s="444"/>
      <c r="NQ53" s="444"/>
      <c r="NR53" s="444"/>
      <c r="NS53" s="444"/>
      <c r="NT53" s="444"/>
      <c r="NU53" s="444"/>
      <c r="NV53" s="444"/>
      <c r="NW53" s="444"/>
      <c r="NX53" s="444"/>
      <c r="NY53" s="444"/>
      <c r="NZ53" s="444"/>
      <c r="OA53" s="444"/>
      <c r="OB53" s="444"/>
      <c r="OC53" s="444"/>
      <c r="OD53" s="444"/>
      <c r="OE53" s="444"/>
      <c r="OF53" s="444"/>
      <c r="OG53" s="444"/>
      <c r="OH53" s="444"/>
      <c r="OI53" s="444"/>
      <c r="OJ53" s="444"/>
      <c r="OK53" s="444"/>
      <c r="OL53" s="444"/>
      <c r="OM53" s="444"/>
      <c r="ON53" s="444"/>
      <c r="OO53" s="444"/>
      <c r="OP53" s="444"/>
      <c r="OQ53" s="444"/>
      <c r="OR53" s="444"/>
      <c r="OS53" s="444"/>
      <c r="OT53" s="444"/>
      <c r="OU53" s="444"/>
      <c r="OV53" s="444"/>
      <c r="OW53" s="444"/>
      <c r="OX53" s="444"/>
      <c r="OY53" s="444"/>
      <c r="OZ53" s="444"/>
      <c r="PA53" s="444"/>
      <c r="PB53" s="444"/>
      <c r="PC53" s="444"/>
      <c r="PD53" s="444"/>
      <c r="PE53" s="444"/>
      <c r="PF53" s="444"/>
      <c r="PG53" s="444"/>
      <c r="PH53" s="444"/>
      <c r="PI53" s="444"/>
      <c r="PJ53" s="444"/>
      <c r="PK53" s="444"/>
      <c r="PL53" s="444"/>
      <c r="PM53" s="444"/>
      <c r="PN53" s="444"/>
      <c r="PO53" s="444"/>
      <c r="PP53" s="444"/>
      <c r="PQ53" s="444"/>
      <c r="PR53" s="444"/>
      <c r="PS53" s="444"/>
      <c r="PT53" s="444"/>
      <c r="PU53" s="444"/>
      <c r="PV53" s="444"/>
      <c r="PW53" s="444"/>
      <c r="PX53" s="444"/>
      <c r="PY53" s="444"/>
      <c r="PZ53" s="444"/>
      <c r="QA53" s="444"/>
      <c r="QB53" s="444"/>
      <c r="QC53" s="444"/>
      <c r="QD53" s="444"/>
      <c r="QE53" s="444"/>
      <c r="QF53" s="444"/>
      <c r="QG53" s="444"/>
      <c r="QH53" s="444"/>
      <c r="QI53" s="444"/>
      <c r="QJ53" s="444"/>
      <c r="QK53" s="444"/>
      <c r="QL53" s="444"/>
      <c r="QM53" s="444"/>
      <c r="QN53" s="444"/>
      <c r="QO53" s="444"/>
      <c r="QP53" s="444"/>
      <c r="QQ53" s="444"/>
      <c r="QR53" s="444"/>
      <c r="QS53" s="444"/>
      <c r="QT53" s="444"/>
      <c r="QU53" s="444"/>
      <c r="QV53" s="444"/>
      <c r="QW53" s="444"/>
      <c r="QX53" s="444"/>
      <c r="QY53" s="444"/>
      <c r="QZ53" s="444"/>
      <c r="RA53" s="444"/>
      <c r="RB53" s="444"/>
      <c r="RC53" s="444"/>
      <c r="RD53" s="444"/>
      <c r="RE53" s="444"/>
      <c r="RF53" s="444"/>
      <c r="RG53" s="444"/>
      <c r="RH53" s="444"/>
      <c r="RI53" s="444"/>
      <c r="RJ53" s="444"/>
      <c r="RK53" s="444"/>
      <c r="RL53" s="444"/>
      <c r="RM53" s="444"/>
      <c r="RN53" s="444"/>
      <c r="RO53" s="444"/>
      <c r="RP53" s="444"/>
      <c r="RQ53" s="444"/>
      <c r="RR53" s="444"/>
      <c r="RS53" s="444"/>
      <c r="RT53" s="444"/>
      <c r="RU53" s="444"/>
      <c r="RV53" s="444"/>
      <c r="RW53" s="444"/>
      <c r="RX53" s="444"/>
      <c r="RY53" s="444"/>
      <c r="RZ53" s="444"/>
      <c r="SA53" s="444"/>
      <c r="SB53" s="444"/>
      <c r="SC53" s="444"/>
      <c r="SD53" s="444"/>
      <c r="SE53" s="444"/>
      <c r="SF53" s="444"/>
      <c r="SG53" s="444"/>
      <c r="SH53" s="444"/>
      <c r="SI53" s="444"/>
      <c r="SJ53" s="444"/>
      <c r="SK53" s="444"/>
      <c r="SL53" s="444"/>
      <c r="SM53" s="444"/>
      <c r="SN53" s="444"/>
      <c r="SO53" s="444"/>
      <c r="SP53" s="444"/>
      <c r="SQ53" s="444"/>
      <c r="SR53" s="444"/>
      <c r="SS53" s="444"/>
      <c r="ST53" s="444"/>
      <c r="SU53" s="444"/>
      <c r="SV53" s="444"/>
      <c r="SW53" s="444"/>
      <c r="SX53" s="444"/>
      <c r="SY53" s="444"/>
      <c r="SZ53" s="444"/>
      <c r="TA53" s="444"/>
      <c r="TB53" s="444"/>
      <c r="TC53" s="444"/>
      <c r="TD53" s="444"/>
      <c r="TE53" s="444"/>
      <c r="TF53" s="444"/>
      <c r="TG53" s="444"/>
      <c r="TH53" s="444"/>
      <c r="TI53" s="444"/>
      <c r="TJ53" s="444"/>
      <c r="TK53" s="444"/>
      <c r="TL53" s="444"/>
      <c r="TM53" s="444"/>
      <c r="TN53" s="444"/>
      <c r="TO53" s="444"/>
      <c r="TP53" s="444"/>
      <c r="TQ53" s="444"/>
      <c r="TR53" s="444"/>
      <c r="TS53" s="444"/>
      <c r="TT53" s="444"/>
      <c r="TU53" s="444"/>
      <c r="TV53" s="444"/>
      <c r="TW53" s="444"/>
      <c r="TX53" s="444"/>
      <c r="TY53" s="444"/>
      <c r="TZ53" s="444"/>
      <c r="UA53" s="444"/>
      <c r="UB53" s="444"/>
      <c r="UC53" s="444"/>
      <c r="UD53" s="444"/>
      <c r="UE53" s="444"/>
      <c r="UF53" s="444"/>
      <c r="UG53" s="444"/>
      <c r="UH53" s="444"/>
      <c r="UI53" s="444"/>
      <c r="UJ53" s="444"/>
      <c r="UK53" s="444"/>
      <c r="UL53" s="444"/>
      <c r="UM53" s="444"/>
      <c r="UN53" s="444"/>
      <c r="UO53" s="444"/>
      <c r="UP53" s="444"/>
      <c r="UQ53" s="444"/>
      <c r="UR53" s="444"/>
      <c r="US53" s="444"/>
      <c r="UT53" s="444"/>
      <c r="UU53" s="444"/>
      <c r="UV53" s="444"/>
      <c r="UW53" s="444"/>
      <c r="UX53" s="444"/>
      <c r="UY53" s="444"/>
      <c r="UZ53" s="444"/>
      <c r="VA53" s="444"/>
      <c r="VB53" s="444"/>
      <c r="VC53" s="444"/>
      <c r="VD53" s="444"/>
      <c r="VE53" s="444"/>
      <c r="VF53" s="444"/>
      <c r="VG53" s="444"/>
      <c r="VH53" s="444"/>
      <c r="VI53" s="444"/>
      <c r="VJ53" s="444"/>
      <c r="VK53" s="444"/>
      <c r="VL53" s="444"/>
      <c r="VM53" s="444"/>
      <c r="VN53" s="444"/>
      <c r="VO53" s="444"/>
      <c r="VP53" s="444"/>
      <c r="VQ53" s="444"/>
      <c r="VR53" s="444"/>
      <c r="VS53" s="444"/>
      <c r="VT53" s="444"/>
      <c r="VU53" s="444"/>
      <c r="VV53" s="444"/>
      <c r="VW53" s="444"/>
      <c r="VX53" s="444"/>
      <c r="VY53" s="444"/>
      <c r="VZ53" s="444"/>
      <c r="WA53" s="444"/>
      <c r="WB53" s="444"/>
      <c r="WC53" s="444"/>
      <c r="WD53" s="444"/>
      <c r="WE53" s="444"/>
      <c r="WF53" s="444"/>
    </row>
    <row r="54" spans="1:604" ht="45" hidden="1" customHeight="1" x14ac:dyDescent="0.2">
      <c r="A54" s="486"/>
      <c r="B54" s="486"/>
      <c r="C54" s="450" t="s">
        <v>649</v>
      </c>
      <c r="D54" s="450" t="s">
        <v>190</v>
      </c>
      <c r="E54" s="435">
        <v>30011</v>
      </c>
      <c r="F54" s="442" t="s">
        <v>500</v>
      </c>
      <c r="G54" s="437">
        <f>'MC-DRE'!O54</f>
        <v>0</v>
      </c>
      <c r="H54" s="438" t="s">
        <v>0</v>
      </c>
      <c r="I54" s="479">
        <f t="shared" si="4"/>
        <v>133.13999999999999</v>
      </c>
      <c r="J54" s="439">
        <f t="shared" si="1"/>
        <v>169.7</v>
      </c>
      <c r="K54" s="476">
        <f t="shared" si="2"/>
        <v>0</v>
      </c>
      <c r="L54" s="446"/>
      <c r="M54" s="446"/>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4"/>
      <c r="BD54" s="444"/>
      <c r="BE54" s="444"/>
      <c r="BF54" s="444"/>
      <c r="BG54" s="444"/>
      <c r="BH54" s="444"/>
      <c r="BI54" s="444"/>
      <c r="BJ54" s="444"/>
      <c r="BK54" s="444"/>
      <c r="BL54" s="444"/>
      <c r="BM54" s="444"/>
      <c r="BN54" s="444"/>
      <c r="BO54" s="444"/>
      <c r="BP54" s="444"/>
      <c r="BQ54" s="444"/>
      <c r="BR54" s="444"/>
      <c r="BS54" s="444"/>
      <c r="BT54" s="444"/>
      <c r="BU54" s="444"/>
      <c r="BV54" s="444"/>
      <c r="BW54" s="444"/>
      <c r="BX54" s="444"/>
      <c r="BY54" s="444"/>
      <c r="BZ54" s="444"/>
      <c r="CA54" s="444"/>
      <c r="CB54" s="444"/>
      <c r="CC54" s="444"/>
      <c r="CD54" s="444"/>
      <c r="CE54" s="444"/>
      <c r="CF54" s="444"/>
      <c r="CG54" s="444"/>
      <c r="CH54" s="444"/>
      <c r="CI54" s="444"/>
      <c r="CJ54" s="444"/>
      <c r="CK54" s="444"/>
      <c r="CL54" s="444"/>
      <c r="CM54" s="444"/>
      <c r="CN54" s="444"/>
      <c r="CO54" s="444"/>
      <c r="CP54" s="444"/>
      <c r="CQ54" s="444"/>
      <c r="CR54" s="444"/>
      <c r="CS54" s="444"/>
      <c r="CT54" s="444"/>
      <c r="CU54" s="444"/>
      <c r="CV54" s="444"/>
      <c r="CW54" s="444"/>
      <c r="CX54" s="444"/>
      <c r="CY54" s="444"/>
      <c r="CZ54" s="444"/>
      <c r="DA54" s="444"/>
      <c r="DB54" s="444"/>
      <c r="DC54" s="444"/>
      <c r="DD54" s="444"/>
      <c r="DE54" s="444"/>
      <c r="DF54" s="444"/>
      <c r="DG54" s="444"/>
      <c r="DH54" s="444"/>
      <c r="DI54" s="444"/>
      <c r="DJ54" s="444"/>
      <c r="DK54" s="444"/>
      <c r="DL54" s="444"/>
      <c r="DM54" s="444"/>
      <c r="DN54" s="444"/>
      <c r="DO54" s="444"/>
      <c r="DP54" s="444"/>
      <c r="DQ54" s="444"/>
      <c r="DR54" s="444"/>
      <c r="DS54" s="444"/>
      <c r="DT54" s="444"/>
      <c r="DU54" s="444"/>
      <c r="DV54" s="444"/>
      <c r="DW54" s="444"/>
      <c r="DX54" s="444"/>
      <c r="DY54" s="444"/>
      <c r="DZ54" s="444"/>
      <c r="EA54" s="444"/>
      <c r="EB54" s="444"/>
      <c r="EC54" s="444"/>
      <c r="ED54" s="444"/>
      <c r="EE54" s="444"/>
      <c r="EF54" s="444"/>
      <c r="EG54" s="444"/>
      <c r="EH54" s="444"/>
      <c r="EI54" s="444"/>
      <c r="EJ54" s="444"/>
      <c r="EK54" s="444"/>
      <c r="EL54" s="444"/>
      <c r="EM54" s="444"/>
      <c r="EN54" s="444"/>
      <c r="EO54" s="444"/>
      <c r="EP54" s="444"/>
      <c r="EQ54" s="444"/>
      <c r="ER54" s="444"/>
      <c r="ES54" s="444"/>
      <c r="ET54" s="444"/>
      <c r="EU54" s="444"/>
      <c r="EV54" s="444"/>
      <c r="EW54" s="444"/>
      <c r="EX54" s="444"/>
      <c r="EY54" s="444"/>
      <c r="EZ54" s="444"/>
      <c r="FA54" s="444"/>
      <c r="FB54" s="444"/>
      <c r="FC54" s="444"/>
      <c r="FD54" s="444"/>
      <c r="FE54" s="444"/>
      <c r="FF54" s="444"/>
      <c r="FG54" s="444"/>
      <c r="FH54" s="444"/>
      <c r="FI54" s="444"/>
      <c r="FJ54" s="444"/>
      <c r="FK54" s="444"/>
      <c r="FL54" s="444"/>
      <c r="FM54" s="444"/>
      <c r="FN54" s="444"/>
      <c r="FO54" s="444"/>
      <c r="FP54" s="444"/>
      <c r="FQ54" s="444"/>
      <c r="FR54" s="444"/>
      <c r="FS54" s="444"/>
      <c r="FT54" s="444"/>
      <c r="FU54" s="444"/>
      <c r="FV54" s="444"/>
      <c r="FW54" s="444"/>
      <c r="FX54" s="444"/>
      <c r="FY54" s="444"/>
      <c r="FZ54" s="444"/>
      <c r="GA54" s="444"/>
      <c r="GB54" s="444"/>
      <c r="GC54" s="444"/>
      <c r="GD54" s="444"/>
      <c r="GE54" s="444"/>
      <c r="GF54" s="444"/>
      <c r="GG54" s="444"/>
      <c r="GH54" s="444"/>
      <c r="GI54" s="444"/>
      <c r="GJ54" s="444"/>
      <c r="GK54" s="444"/>
      <c r="GL54" s="444"/>
      <c r="GM54" s="444"/>
      <c r="GN54" s="444"/>
      <c r="GO54" s="444"/>
      <c r="GP54" s="444"/>
      <c r="GQ54" s="444"/>
      <c r="GR54" s="444"/>
      <c r="GS54" s="444"/>
      <c r="GT54" s="444"/>
      <c r="GU54" s="444"/>
      <c r="GV54" s="444"/>
      <c r="GW54" s="444"/>
      <c r="GX54" s="444"/>
      <c r="GY54" s="444"/>
      <c r="GZ54" s="444"/>
      <c r="HA54" s="444"/>
      <c r="HB54" s="444"/>
      <c r="HC54" s="444"/>
      <c r="HD54" s="444"/>
      <c r="HE54" s="444"/>
      <c r="HF54" s="444"/>
      <c r="HG54" s="444"/>
      <c r="HH54" s="444"/>
      <c r="HI54" s="444"/>
      <c r="HJ54" s="444"/>
      <c r="HK54" s="444"/>
      <c r="HL54" s="444"/>
      <c r="HM54" s="444"/>
      <c r="HN54" s="444"/>
      <c r="HO54" s="444"/>
      <c r="HP54" s="444"/>
      <c r="HQ54" s="444"/>
      <c r="HR54" s="444"/>
      <c r="HS54" s="444"/>
      <c r="HT54" s="444"/>
      <c r="HU54" s="444"/>
      <c r="HV54" s="444"/>
      <c r="HW54" s="444"/>
      <c r="HX54" s="444"/>
      <c r="HY54" s="444"/>
      <c r="HZ54" s="444"/>
      <c r="IA54" s="444"/>
      <c r="IB54" s="444"/>
      <c r="IC54" s="444"/>
      <c r="ID54" s="444"/>
      <c r="IE54" s="444"/>
      <c r="IF54" s="444"/>
      <c r="IG54" s="444"/>
      <c r="IH54" s="444"/>
      <c r="II54" s="444"/>
      <c r="IJ54" s="444"/>
      <c r="IK54" s="444"/>
      <c r="IL54" s="444"/>
      <c r="IM54" s="444"/>
      <c r="IN54" s="444"/>
      <c r="IO54" s="444"/>
      <c r="IP54" s="444"/>
      <c r="IQ54" s="444"/>
      <c r="IR54" s="444"/>
      <c r="IS54" s="444"/>
      <c r="IT54" s="444"/>
      <c r="IU54" s="444"/>
      <c r="IV54" s="444"/>
      <c r="IW54" s="444"/>
      <c r="IX54" s="444"/>
      <c r="IY54" s="444"/>
      <c r="IZ54" s="444"/>
      <c r="JA54" s="444"/>
      <c r="JB54" s="444"/>
      <c r="JC54" s="444"/>
      <c r="JD54" s="444"/>
      <c r="JE54" s="444"/>
      <c r="JF54" s="444"/>
      <c r="JG54" s="444"/>
      <c r="JH54" s="444"/>
      <c r="JI54" s="444"/>
      <c r="JJ54" s="444"/>
      <c r="JK54" s="444"/>
      <c r="JL54" s="444"/>
      <c r="JM54" s="444"/>
      <c r="JN54" s="444"/>
      <c r="JO54" s="444"/>
      <c r="JP54" s="444"/>
      <c r="JQ54" s="444"/>
      <c r="JR54" s="444"/>
      <c r="JS54" s="444"/>
      <c r="JT54" s="444"/>
      <c r="JU54" s="444"/>
      <c r="JV54" s="444"/>
      <c r="JW54" s="444"/>
      <c r="JX54" s="444"/>
      <c r="JY54" s="444"/>
      <c r="JZ54" s="444"/>
      <c r="KA54" s="444"/>
      <c r="KB54" s="444"/>
      <c r="KC54" s="444"/>
      <c r="KD54" s="444"/>
      <c r="KE54" s="444"/>
      <c r="KF54" s="444"/>
      <c r="KG54" s="444"/>
      <c r="KH54" s="444"/>
      <c r="KI54" s="444"/>
      <c r="KJ54" s="444"/>
      <c r="KK54" s="444"/>
      <c r="KL54" s="444"/>
      <c r="KM54" s="444"/>
      <c r="KN54" s="444"/>
      <c r="KO54" s="444"/>
      <c r="KP54" s="444"/>
      <c r="KQ54" s="444"/>
      <c r="KR54" s="444"/>
      <c r="KS54" s="444"/>
      <c r="KT54" s="444"/>
      <c r="KU54" s="444"/>
      <c r="KV54" s="444"/>
      <c r="KW54" s="444"/>
      <c r="KX54" s="444"/>
      <c r="KY54" s="444"/>
      <c r="KZ54" s="444"/>
      <c r="LA54" s="444"/>
      <c r="LB54" s="444"/>
      <c r="LC54" s="444"/>
      <c r="LD54" s="444"/>
      <c r="LE54" s="444"/>
      <c r="LF54" s="444"/>
      <c r="LG54" s="444"/>
      <c r="LH54" s="444"/>
      <c r="LI54" s="444"/>
      <c r="LJ54" s="444"/>
      <c r="LK54" s="444"/>
      <c r="LL54" s="444"/>
      <c r="LM54" s="444"/>
      <c r="LN54" s="444"/>
      <c r="LO54" s="444"/>
      <c r="LP54" s="444"/>
      <c r="LQ54" s="444"/>
      <c r="LR54" s="444"/>
      <c r="LS54" s="444"/>
      <c r="LT54" s="444"/>
      <c r="LU54" s="444"/>
      <c r="LV54" s="444"/>
      <c r="LW54" s="444"/>
      <c r="LX54" s="444"/>
      <c r="LY54" s="444"/>
      <c r="LZ54" s="444"/>
      <c r="MA54" s="444"/>
      <c r="MB54" s="444"/>
      <c r="MC54" s="444"/>
      <c r="MD54" s="444"/>
      <c r="ME54" s="444"/>
      <c r="MF54" s="444"/>
      <c r="MG54" s="444"/>
      <c r="MH54" s="444"/>
      <c r="MI54" s="444"/>
      <c r="MJ54" s="444"/>
      <c r="MK54" s="444"/>
      <c r="ML54" s="444"/>
      <c r="MM54" s="444"/>
      <c r="MN54" s="444"/>
      <c r="MO54" s="444"/>
      <c r="MP54" s="444"/>
      <c r="MQ54" s="444"/>
      <c r="MR54" s="444"/>
      <c r="MS54" s="444"/>
      <c r="MT54" s="444"/>
      <c r="MU54" s="444"/>
      <c r="MV54" s="444"/>
      <c r="MW54" s="444"/>
      <c r="MX54" s="444"/>
      <c r="MY54" s="444"/>
      <c r="MZ54" s="444"/>
      <c r="NA54" s="444"/>
      <c r="NB54" s="444"/>
      <c r="NC54" s="444"/>
      <c r="ND54" s="444"/>
      <c r="NE54" s="444"/>
      <c r="NF54" s="444"/>
      <c r="NG54" s="444"/>
      <c r="NH54" s="444"/>
      <c r="NI54" s="444"/>
      <c r="NJ54" s="444"/>
      <c r="NK54" s="444"/>
      <c r="NL54" s="444"/>
      <c r="NM54" s="444"/>
      <c r="NN54" s="444"/>
      <c r="NO54" s="444"/>
      <c r="NP54" s="444"/>
      <c r="NQ54" s="444"/>
      <c r="NR54" s="444"/>
      <c r="NS54" s="444"/>
      <c r="NT54" s="444"/>
      <c r="NU54" s="444"/>
      <c r="NV54" s="444"/>
      <c r="NW54" s="444"/>
      <c r="NX54" s="444"/>
      <c r="NY54" s="444"/>
      <c r="NZ54" s="444"/>
      <c r="OA54" s="444"/>
      <c r="OB54" s="444"/>
      <c r="OC54" s="444"/>
      <c r="OD54" s="444"/>
      <c r="OE54" s="444"/>
      <c r="OF54" s="444"/>
      <c r="OG54" s="444"/>
      <c r="OH54" s="444"/>
      <c r="OI54" s="444"/>
      <c r="OJ54" s="444"/>
      <c r="OK54" s="444"/>
      <c r="OL54" s="444"/>
      <c r="OM54" s="444"/>
      <c r="ON54" s="444"/>
      <c r="OO54" s="444"/>
      <c r="OP54" s="444"/>
      <c r="OQ54" s="444"/>
      <c r="OR54" s="444"/>
      <c r="OS54" s="444"/>
      <c r="OT54" s="444"/>
      <c r="OU54" s="444"/>
      <c r="OV54" s="444"/>
      <c r="OW54" s="444"/>
      <c r="OX54" s="444"/>
      <c r="OY54" s="444"/>
      <c r="OZ54" s="444"/>
      <c r="PA54" s="444"/>
      <c r="PB54" s="444"/>
      <c r="PC54" s="444"/>
      <c r="PD54" s="444"/>
      <c r="PE54" s="444"/>
      <c r="PF54" s="444"/>
      <c r="PG54" s="444"/>
      <c r="PH54" s="444"/>
      <c r="PI54" s="444"/>
      <c r="PJ54" s="444"/>
      <c r="PK54" s="444"/>
      <c r="PL54" s="444"/>
      <c r="PM54" s="444"/>
      <c r="PN54" s="444"/>
      <c r="PO54" s="444"/>
      <c r="PP54" s="444"/>
      <c r="PQ54" s="444"/>
      <c r="PR54" s="444"/>
      <c r="PS54" s="444"/>
      <c r="PT54" s="444"/>
      <c r="PU54" s="444"/>
      <c r="PV54" s="444"/>
      <c r="PW54" s="444"/>
      <c r="PX54" s="444"/>
      <c r="PY54" s="444"/>
      <c r="PZ54" s="444"/>
      <c r="QA54" s="444"/>
      <c r="QB54" s="444"/>
      <c r="QC54" s="444"/>
      <c r="QD54" s="444"/>
      <c r="QE54" s="444"/>
      <c r="QF54" s="444"/>
      <c r="QG54" s="444"/>
      <c r="QH54" s="444"/>
      <c r="QI54" s="444"/>
      <c r="QJ54" s="444"/>
      <c r="QK54" s="444"/>
      <c r="QL54" s="444"/>
      <c r="QM54" s="444"/>
      <c r="QN54" s="444"/>
      <c r="QO54" s="444"/>
      <c r="QP54" s="444"/>
      <c r="QQ54" s="444"/>
      <c r="QR54" s="444"/>
      <c r="QS54" s="444"/>
      <c r="QT54" s="444"/>
      <c r="QU54" s="444"/>
      <c r="QV54" s="444"/>
      <c r="QW54" s="444"/>
      <c r="QX54" s="444"/>
      <c r="QY54" s="444"/>
      <c r="QZ54" s="444"/>
      <c r="RA54" s="444"/>
      <c r="RB54" s="444"/>
      <c r="RC54" s="444"/>
      <c r="RD54" s="444"/>
      <c r="RE54" s="444"/>
      <c r="RF54" s="444"/>
      <c r="RG54" s="444"/>
      <c r="RH54" s="444"/>
      <c r="RI54" s="444"/>
      <c r="RJ54" s="444"/>
      <c r="RK54" s="444"/>
      <c r="RL54" s="444"/>
      <c r="RM54" s="444"/>
      <c r="RN54" s="444"/>
      <c r="RO54" s="444"/>
      <c r="RP54" s="444"/>
      <c r="RQ54" s="444"/>
      <c r="RR54" s="444"/>
      <c r="RS54" s="444"/>
      <c r="RT54" s="444"/>
      <c r="RU54" s="444"/>
      <c r="RV54" s="444"/>
      <c r="RW54" s="444"/>
      <c r="RX54" s="444"/>
      <c r="RY54" s="444"/>
      <c r="RZ54" s="444"/>
      <c r="SA54" s="444"/>
      <c r="SB54" s="444"/>
      <c r="SC54" s="444"/>
      <c r="SD54" s="444"/>
      <c r="SE54" s="444"/>
      <c r="SF54" s="444"/>
      <c r="SG54" s="444"/>
      <c r="SH54" s="444"/>
      <c r="SI54" s="444"/>
      <c r="SJ54" s="444"/>
      <c r="SK54" s="444"/>
      <c r="SL54" s="444"/>
      <c r="SM54" s="444"/>
      <c r="SN54" s="444"/>
      <c r="SO54" s="444"/>
      <c r="SP54" s="444"/>
      <c r="SQ54" s="444"/>
      <c r="SR54" s="444"/>
      <c r="SS54" s="444"/>
      <c r="ST54" s="444"/>
      <c r="SU54" s="444"/>
      <c r="SV54" s="444"/>
      <c r="SW54" s="444"/>
      <c r="SX54" s="444"/>
      <c r="SY54" s="444"/>
      <c r="SZ54" s="444"/>
      <c r="TA54" s="444"/>
      <c r="TB54" s="444"/>
      <c r="TC54" s="444"/>
      <c r="TD54" s="444"/>
      <c r="TE54" s="444"/>
      <c r="TF54" s="444"/>
      <c r="TG54" s="444"/>
      <c r="TH54" s="444"/>
      <c r="TI54" s="444"/>
      <c r="TJ54" s="444"/>
      <c r="TK54" s="444"/>
      <c r="TL54" s="444"/>
      <c r="TM54" s="444"/>
      <c r="TN54" s="444"/>
      <c r="TO54" s="444"/>
      <c r="TP54" s="444"/>
      <c r="TQ54" s="444"/>
      <c r="TR54" s="444"/>
      <c r="TS54" s="444"/>
      <c r="TT54" s="444"/>
      <c r="TU54" s="444"/>
      <c r="TV54" s="444"/>
      <c r="TW54" s="444"/>
      <c r="TX54" s="444"/>
      <c r="TY54" s="444"/>
      <c r="TZ54" s="444"/>
      <c r="UA54" s="444"/>
      <c r="UB54" s="444"/>
      <c r="UC54" s="444"/>
      <c r="UD54" s="444"/>
      <c r="UE54" s="444"/>
      <c r="UF54" s="444"/>
      <c r="UG54" s="444"/>
      <c r="UH54" s="444"/>
      <c r="UI54" s="444"/>
      <c r="UJ54" s="444"/>
      <c r="UK54" s="444"/>
      <c r="UL54" s="444"/>
      <c r="UM54" s="444"/>
      <c r="UN54" s="444"/>
      <c r="UO54" s="444"/>
      <c r="UP54" s="444"/>
      <c r="UQ54" s="444"/>
      <c r="UR54" s="444"/>
      <c r="US54" s="444"/>
      <c r="UT54" s="444"/>
      <c r="UU54" s="444"/>
      <c r="UV54" s="444"/>
      <c r="UW54" s="444"/>
      <c r="UX54" s="444"/>
      <c r="UY54" s="444"/>
      <c r="UZ54" s="444"/>
      <c r="VA54" s="444"/>
      <c r="VB54" s="444"/>
      <c r="VC54" s="444"/>
      <c r="VD54" s="444"/>
      <c r="VE54" s="444"/>
      <c r="VF54" s="444"/>
      <c r="VG54" s="444"/>
      <c r="VH54" s="444"/>
      <c r="VI54" s="444"/>
      <c r="VJ54" s="444"/>
      <c r="VK54" s="444"/>
      <c r="VL54" s="444"/>
      <c r="VM54" s="444"/>
      <c r="VN54" s="444"/>
      <c r="VO54" s="444"/>
      <c r="VP54" s="444"/>
      <c r="VQ54" s="444"/>
      <c r="VR54" s="444"/>
      <c r="VS54" s="444"/>
      <c r="VT54" s="444"/>
      <c r="VU54" s="444"/>
      <c r="VV54" s="444"/>
      <c r="VW54" s="444"/>
      <c r="VX54" s="444"/>
      <c r="VY54" s="444"/>
      <c r="VZ54" s="444"/>
      <c r="WA54" s="444"/>
      <c r="WB54" s="444"/>
      <c r="WC54" s="444"/>
      <c r="WD54" s="444"/>
      <c r="WE54" s="444"/>
      <c r="WF54" s="444"/>
    </row>
    <row r="55" spans="1:604" s="498" customFormat="1" ht="63" hidden="1" x14ac:dyDescent="0.2">
      <c r="A55" s="486"/>
      <c r="B55" s="486"/>
      <c r="C55" s="450" t="s">
        <v>650</v>
      </c>
      <c r="D55" s="440" t="s">
        <v>192</v>
      </c>
      <c r="E55" s="441" t="s">
        <v>367</v>
      </c>
      <c r="F55" s="442" t="s">
        <v>621</v>
      </c>
      <c r="G55" s="437">
        <f>'MC-DRE'!P54</f>
        <v>0</v>
      </c>
      <c r="H55" s="438" t="s">
        <v>0</v>
      </c>
      <c r="I55" s="479">
        <f t="shared" si="4"/>
        <v>17.77</v>
      </c>
      <c r="J55" s="439">
        <f t="shared" si="1"/>
        <v>22.65</v>
      </c>
      <c r="K55" s="476">
        <f t="shared" si="2"/>
        <v>0</v>
      </c>
      <c r="L55" s="446"/>
      <c r="M55" s="446"/>
      <c r="AE55" s="499"/>
      <c r="AF55" s="499"/>
      <c r="AG55" s="499"/>
      <c r="AH55" s="499"/>
      <c r="AI55" s="499"/>
      <c r="AJ55" s="499"/>
      <c r="AK55" s="499"/>
      <c r="AL55" s="499"/>
      <c r="AM55" s="499"/>
      <c r="AN55" s="499"/>
      <c r="AO55" s="499"/>
      <c r="AP55" s="499"/>
      <c r="AQ55" s="499"/>
      <c r="AR55" s="499"/>
      <c r="AS55" s="499"/>
      <c r="AT55" s="499"/>
      <c r="AU55" s="499"/>
      <c r="AV55" s="499"/>
      <c r="AW55" s="499"/>
      <c r="AX55" s="499"/>
      <c r="AY55" s="499"/>
      <c r="AZ55" s="499"/>
      <c r="BA55" s="499"/>
      <c r="BB55" s="499"/>
      <c r="BC55" s="499"/>
      <c r="BD55" s="499"/>
      <c r="BE55" s="499"/>
      <c r="BF55" s="499"/>
      <c r="BG55" s="499"/>
      <c r="BH55" s="499"/>
      <c r="BI55" s="499"/>
      <c r="BJ55" s="499"/>
      <c r="BK55" s="499"/>
      <c r="BL55" s="499"/>
      <c r="BM55" s="499"/>
      <c r="BN55" s="499"/>
      <c r="BO55" s="499"/>
      <c r="BP55" s="499"/>
      <c r="BQ55" s="499"/>
      <c r="BR55" s="499"/>
      <c r="BS55" s="499"/>
      <c r="BT55" s="499"/>
      <c r="BU55" s="499"/>
      <c r="BV55" s="499"/>
      <c r="BW55" s="499"/>
      <c r="BX55" s="499"/>
      <c r="BY55" s="499"/>
      <c r="BZ55" s="499"/>
      <c r="CA55" s="499"/>
      <c r="CB55" s="499"/>
      <c r="CC55" s="499"/>
      <c r="CD55" s="499"/>
      <c r="CE55" s="499"/>
      <c r="CF55" s="499"/>
      <c r="CG55" s="499"/>
      <c r="CH55" s="499"/>
      <c r="CI55" s="499"/>
      <c r="CJ55" s="499"/>
      <c r="CK55" s="499"/>
      <c r="CL55" s="499"/>
      <c r="CM55" s="499"/>
      <c r="CN55" s="499"/>
      <c r="CO55" s="499"/>
      <c r="CP55" s="499"/>
      <c r="CQ55" s="499"/>
      <c r="CR55" s="499"/>
      <c r="CS55" s="499"/>
      <c r="CT55" s="499"/>
      <c r="CU55" s="499"/>
      <c r="CV55" s="499"/>
      <c r="CW55" s="499"/>
      <c r="CX55" s="499"/>
      <c r="CY55" s="499"/>
      <c r="CZ55" s="499"/>
      <c r="DA55" s="499"/>
      <c r="DB55" s="499"/>
      <c r="DC55" s="499"/>
      <c r="DD55" s="499"/>
      <c r="DE55" s="499"/>
      <c r="DF55" s="499"/>
      <c r="DG55" s="499"/>
      <c r="DH55" s="499"/>
      <c r="DI55" s="499"/>
      <c r="DJ55" s="499"/>
      <c r="DK55" s="499"/>
      <c r="DL55" s="499"/>
      <c r="DM55" s="499"/>
      <c r="DN55" s="499"/>
      <c r="DO55" s="499"/>
      <c r="DP55" s="499"/>
      <c r="DQ55" s="499"/>
      <c r="DR55" s="499"/>
      <c r="DS55" s="499"/>
      <c r="DT55" s="499"/>
      <c r="DU55" s="499"/>
      <c r="DV55" s="499"/>
      <c r="DW55" s="499"/>
      <c r="DX55" s="499"/>
      <c r="DY55" s="499"/>
      <c r="DZ55" s="499"/>
      <c r="EA55" s="499"/>
      <c r="EB55" s="499"/>
      <c r="EC55" s="499"/>
      <c r="ED55" s="499"/>
      <c r="EE55" s="499"/>
      <c r="EF55" s="499"/>
      <c r="EG55" s="499"/>
      <c r="EH55" s="499"/>
      <c r="EI55" s="499"/>
      <c r="EJ55" s="499"/>
      <c r="EK55" s="499"/>
      <c r="EL55" s="499"/>
      <c r="EM55" s="499"/>
      <c r="EN55" s="499"/>
      <c r="EO55" s="499"/>
      <c r="EP55" s="499"/>
      <c r="EQ55" s="499"/>
      <c r="ER55" s="499"/>
      <c r="ES55" s="499"/>
      <c r="ET55" s="499"/>
      <c r="EU55" s="499"/>
      <c r="EV55" s="499"/>
      <c r="EW55" s="499"/>
      <c r="EX55" s="499"/>
      <c r="EY55" s="499"/>
      <c r="EZ55" s="499"/>
      <c r="FA55" s="499"/>
      <c r="FB55" s="499"/>
      <c r="FC55" s="499"/>
      <c r="FD55" s="499"/>
      <c r="FE55" s="499"/>
      <c r="FF55" s="499"/>
      <c r="FG55" s="499"/>
      <c r="FH55" s="499"/>
      <c r="FI55" s="499"/>
      <c r="FJ55" s="499"/>
      <c r="FK55" s="499"/>
      <c r="FL55" s="499"/>
      <c r="FM55" s="499"/>
      <c r="FN55" s="499"/>
      <c r="FO55" s="499"/>
      <c r="FP55" s="499"/>
      <c r="FQ55" s="499"/>
      <c r="FR55" s="499"/>
      <c r="FS55" s="499"/>
      <c r="FT55" s="499"/>
      <c r="FU55" s="499"/>
      <c r="FV55" s="499"/>
      <c r="FW55" s="499"/>
      <c r="FX55" s="499"/>
      <c r="FY55" s="499"/>
      <c r="FZ55" s="499"/>
      <c r="GA55" s="499"/>
      <c r="GB55" s="499"/>
      <c r="GC55" s="499"/>
      <c r="GD55" s="499"/>
      <c r="GE55" s="499"/>
      <c r="GF55" s="499"/>
      <c r="GG55" s="499"/>
      <c r="GH55" s="499"/>
      <c r="GI55" s="499"/>
      <c r="GJ55" s="499"/>
      <c r="GK55" s="499"/>
      <c r="GL55" s="499"/>
      <c r="GM55" s="499"/>
      <c r="GN55" s="499"/>
      <c r="GO55" s="499"/>
      <c r="GP55" s="499"/>
      <c r="GQ55" s="499"/>
      <c r="GR55" s="499"/>
      <c r="GS55" s="499"/>
      <c r="GT55" s="499"/>
      <c r="GU55" s="499"/>
      <c r="GV55" s="499"/>
      <c r="GW55" s="499"/>
      <c r="GX55" s="499"/>
      <c r="GY55" s="499"/>
      <c r="GZ55" s="499"/>
      <c r="HA55" s="499"/>
      <c r="HB55" s="499"/>
      <c r="HC55" s="499"/>
      <c r="HD55" s="499"/>
      <c r="HE55" s="499"/>
      <c r="HF55" s="499"/>
      <c r="HG55" s="499"/>
      <c r="HH55" s="499"/>
      <c r="HI55" s="499"/>
      <c r="HJ55" s="499"/>
      <c r="HK55" s="499"/>
      <c r="HL55" s="499"/>
      <c r="HM55" s="499"/>
      <c r="HN55" s="499"/>
      <c r="HO55" s="499"/>
      <c r="HP55" s="499"/>
      <c r="HQ55" s="499"/>
      <c r="HR55" s="499"/>
      <c r="HS55" s="499"/>
      <c r="HT55" s="499"/>
      <c r="HU55" s="499"/>
      <c r="HV55" s="499"/>
      <c r="HW55" s="499"/>
      <c r="HX55" s="499"/>
      <c r="HY55" s="499"/>
      <c r="HZ55" s="499"/>
      <c r="IA55" s="499"/>
      <c r="IB55" s="499"/>
      <c r="IC55" s="499"/>
      <c r="ID55" s="499"/>
      <c r="IE55" s="499"/>
      <c r="IF55" s="499"/>
      <c r="IG55" s="499"/>
      <c r="IH55" s="499"/>
      <c r="II55" s="499"/>
      <c r="IJ55" s="499"/>
      <c r="IK55" s="499"/>
      <c r="IL55" s="499"/>
      <c r="IM55" s="499"/>
      <c r="IN55" s="499"/>
      <c r="IO55" s="499"/>
      <c r="IP55" s="499"/>
      <c r="IQ55" s="499"/>
      <c r="IR55" s="499"/>
      <c r="IS55" s="499"/>
      <c r="IT55" s="499"/>
      <c r="IU55" s="499"/>
      <c r="IV55" s="499"/>
      <c r="IW55" s="499"/>
      <c r="IX55" s="499"/>
      <c r="IY55" s="499"/>
      <c r="IZ55" s="499"/>
      <c r="JA55" s="499"/>
      <c r="JB55" s="499"/>
      <c r="JC55" s="499"/>
      <c r="JD55" s="499"/>
      <c r="JE55" s="499"/>
      <c r="JF55" s="499"/>
      <c r="JG55" s="499"/>
      <c r="JH55" s="499"/>
      <c r="JI55" s="499"/>
      <c r="JJ55" s="499"/>
      <c r="JK55" s="499"/>
      <c r="JL55" s="499"/>
      <c r="JM55" s="499"/>
      <c r="JN55" s="499"/>
      <c r="JO55" s="499"/>
      <c r="JP55" s="499"/>
      <c r="JQ55" s="499"/>
      <c r="JR55" s="499"/>
      <c r="JS55" s="499"/>
      <c r="JT55" s="499"/>
      <c r="JU55" s="499"/>
      <c r="JV55" s="499"/>
      <c r="JW55" s="499"/>
      <c r="JX55" s="499"/>
      <c r="JY55" s="499"/>
      <c r="JZ55" s="499"/>
      <c r="KA55" s="499"/>
      <c r="KB55" s="499"/>
      <c r="KC55" s="499"/>
      <c r="KD55" s="499"/>
      <c r="KE55" s="499"/>
      <c r="KF55" s="499"/>
      <c r="KG55" s="499"/>
      <c r="KH55" s="499"/>
      <c r="KI55" s="499"/>
      <c r="KJ55" s="499"/>
      <c r="KK55" s="499"/>
      <c r="KL55" s="499"/>
      <c r="KM55" s="499"/>
      <c r="KN55" s="499"/>
      <c r="KO55" s="499"/>
      <c r="KP55" s="499"/>
      <c r="KQ55" s="499"/>
      <c r="KR55" s="499"/>
      <c r="KS55" s="499"/>
      <c r="KT55" s="499"/>
      <c r="KU55" s="499"/>
      <c r="KV55" s="499"/>
      <c r="KW55" s="499"/>
      <c r="KX55" s="499"/>
      <c r="KY55" s="499"/>
      <c r="KZ55" s="499"/>
      <c r="LA55" s="499"/>
      <c r="LB55" s="499"/>
      <c r="LC55" s="499"/>
      <c r="LD55" s="499"/>
      <c r="LE55" s="499"/>
      <c r="LF55" s="499"/>
      <c r="LG55" s="499"/>
      <c r="LH55" s="499"/>
      <c r="LI55" s="499"/>
      <c r="LJ55" s="499"/>
      <c r="LK55" s="499"/>
      <c r="LL55" s="499"/>
      <c r="LM55" s="499"/>
      <c r="LN55" s="499"/>
      <c r="LO55" s="499"/>
      <c r="LP55" s="499"/>
      <c r="LQ55" s="499"/>
      <c r="LR55" s="499"/>
      <c r="LS55" s="499"/>
      <c r="LT55" s="499"/>
      <c r="LU55" s="499"/>
      <c r="LV55" s="499"/>
      <c r="LW55" s="499"/>
      <c r="LX55" s="499"/>
      <c r="LY55" s="499"/>
      <c r="LZ55" s="499"/>
      <c r="MA55" s="499"/>
      <c r="MB55" s="499"/>
      <c r="MC55" s="499"/>
      <c r="MD55" s="499"/>
      <c r="ME55" s="499"/>
      <c r="MF55" s="499"/>
      <c r="MG55" s="499"/>
      <c r="MH55" s="499"/>
      <c r="MI55" s="499"/>
      <c r="MJ55" s="499"/>
      <c r="MK55" s="499"/>
      <c r="ML55" s="499"/>
      <c r="MM55" s="499"/>
      <c r="MN55" s="499"/>
      <c r="MO55" s="499"/>
      <c r="MP55" s="499"/>
      <c r="MQ55" s="499"/>
      <c r="MR55" s="499"/>
      <c r="MS55" s="499"/>
      <c r="MT55" s="499"/>
      <c r="MU55" s="499"/>
      <c r="MV55" s="499"/>
      <c r="MW55" s="499"/>
      <c r="MX55" s="499"/>
      <c r="MY55" s="499"/>
      <c r="MZ55" s="499"/>
      <c r="NA55" s="499"/>
      <c r="NB55" s="499"/>
      <c r="NC55" s="499"/>
      <c r="ND55" s="499"/>
      <c r="NE55" s="499"/>
      <c r="NF55" s="499"/>
      <c r="NG55" s="499"/>
      <c r="NH55" s="499"/>
      <c r="NI55" s="499"/>
      <c r="NJ55" s="499"/>
      <c r="NK55" s="499"/>
      <c r="NL55" s="499"/>
      <c r="NM55" s="499"/>
      <c r="NN55" s="499"/>
      <c r="NO55" s="499"/>
      <c r="NP55" s="499"/>
      <c r="NQ55" s="499"/>
      <c r="NR55" s="499"/>
      <c r="NS55" s="499"/>
      <c r="NT55" s="499"/>
      <c r="NU55" s="499"/>
      <c r="NV55" s="499"/>
      <c r="NW55" s="499"/>
      <c r="NX55" s="499"/>
      <c r="NY55" s="499"/>
      <c r="NZ55" s="499"/>
      <c r="OA55" s="499"/>
      <c r="OB55" s="499"/>
      <c r="OC55" s="499"/>
      <c r="OD55" s="499"/>
      <c r="OE55" s="499"/>
      <c r="OF55" s="499"/>
      <c r="OG55" s="499"/>
      <c r="OH55" s="499"/>
      <c r="OI55" s="499"/>
      <c r="OJ55" s="499"/>
      <c r="OK55" s="499"/>
      <c r="OL55" s="499"/>
      <c r="OM55" s="499"/>
      <c r="ON55" s="499"/>
      <c r="OO55" s="499"/>
      <c r="OP55" s="499"/>
      <c r="OQ55" s="499"/>
      <c r="OR55" s="499"/>
      <c r="OS55" s="499"/>
      <c r="OT55" s="499"/>
      <c r="OU55" s="499"/>
      <c r="OV55" s="499"/>
      <c r="OW55" s="499"/>
      <c r="OX55" s="499"/>
      <c r="OY55" s="499"/>
      <c r="OZ55" s="499"/>
      <c r="PA55" s="499"/>
      <c r="PB55" s="499"/>
      <c r="PC55" s="499"/>
      <c r="PD55" s="499"/>
      <c r="PE55" s="499"/>
      <c r="PF55" s="499"/>
      <c r="PG55" s="499"/>
      <c r="PH55" s="499"/>
      <c r="PI55" s="499"/>
      <c r="PJ55" s="499"/>
      <c r="PK55" s="499"/>
      <c r="PL55" s="499"/>
      <c r="PM55" s="499"/>
      <c r="PN55" s="499"/>
      <c r="PO55" s="499"/>
      <c r="PP55" s="499"/>
      <c r="PQ55" s="499"/>
      <c r="PR55" s="499"/>
      <c r="PS55" s="499"/>
      <c r="PT55" s="499"/>
      <c r="PU55" s="499"/>
      <c r="PV55" s="499"/>
      <c r="PW55" s="499"/>
      <c r="PX55" s="499"/>
      <c r="PY55" s="499"/>
      <c r="PZ55" s="499"/>
      <c r="QA55" s="499"/>
      <c r="QB55" s="499"/>
      <c r="QC55" s="499"/>
      <c r="QD55" s="499"/>
      <c r="QE55" s="499"/>
      <c r="QF55" s="499"/>
      <c r="QG55" s="499"/>
      <c r="QH55" s="499"/>
      <c r="QI55" s="499"/>
      <c r="QJ55" s="499"/>
      <c r="QK55" s="499"/>
      <c r="QL55" s="499"/>
      <c r="QM55" s="499"/>
      <c r="QN55" s="499"/>
      <c r="QO55" s="499"/>
      <c r="QP55" s="499"/>
      <c r="QQ55" s="499"/>
      <c r="QR55" s="499"/>
      <c r="QS55" s="499"/>
      <c r="QT55" s="499"/>
      <c r="QU55" s="499"/>
      <c r="QV55" s="499"/>
      <c r="QW55" s="499"/>
      <c r="QX55" s="499"/>
      <c r="QY55" s="499"/>
      <c r="QZ55" s="499"/>
      <c r="RA55" s="499"/>
      <c r="RB55" s="499"/>
      <c r="RC55" s="499"/>
      <c r="RD55" s="499"/>
      <c r="RE55" s="499"/>
      <c r="RF55" s="499"/>
      <c r="RG55" s="499"/>
      <c r="RH55" s="499"/>
      <c r="RI55" s="499"/>
      <c r="RJ55" s="499"/>
      <c r="RK55" s="499"/>
      <c r="RL55" s="499"/>
      <c r="RM55" s="499"/>
      <c r="RN55" s="499"/>
      <c r="RO55" s="499"/>
      <c r="RP55" s="499"/>
      <c r="RQ55" s="499"/>
      <c r="RR55" s="499"/>
      <c r="RS55" s="499"/>
      <c r="RT55" s="499"/>
      <c r="RU55" s="499"/>
      <c r="RV55" s="499"/>
      <c r="RW55" s="499"/>
      <c r="RX55" s="499"/>
      <c r="RY55" s="499"/>
      <c r="RZ55" s="499"/>
      <c r="SA55" s="499"/>
      <c r="SB55" s="499"/>
      <c r="SC55" s="499"/>
      <c r="SD55" s="499"/>
      <c r="SE55" s="499"/>
      <c r="SF55" s="499"/>
      <c r="SG55" s="499"/>
      <c r="SH55" s="499"/>
      <c r="SI55" s="499"/>
      <c r="SJ55" s="499"/>
      <c r="SK55" s="499"/>
      <c r="SL55" s="499"/>
      <c r="SM55" s="499"/>
      <c r="SN55" s="499"/>
      <c r="SO55" s="499"/>
      <c r="SP55" s="499"/>
      <c r="SQ55" s="499"/>
      <c r="SR55" s="499"/>
      <c r="SS55" s="499"/>
      <c r="ST55" s="499"/>
      <c r="SU55" s="499"/>
      <c r="SV55" s="499"/>
      <c r="SW55" s="499"/>
      <c r="SX55" s="499"/>
      <c r="SY55" s="499"/>
      <c r="SZ55" s="499"/>
      <c r="TA55" s="499"/>
      <c r="TB55" s="499"/>
      <c r="TC55" s="499"/>
      <c r="TD55" s="499"/>
      <c r="TE55" s="499"/>
      <c r="TF55" s="499"/>
      <c r="TG55" s="499"/>
      <c r="TH55" s="499"/>
      <c r="TI55" s="499"/>
      <c r="TJ55" s="499"/>
      <c r="TK55" s="499"/>
      <c r="TL55" s="499"/>
      <c r="TM55" s="499"/>
      <c r="TN55" s="499"/>
      <c r="TO55" s="499"/>
      <c r="TP55" s="499"/>
      <c r="TQ55" s="499"/>
      <c r="TR55" s="499"/>
      <c r="TS55" s="499"/>
      <c r="TT55" s="499"/>
      <c r="TU55" s="499"/>
      <c r="TV55" s="499"/>
      <c r="TW55" s="499"/>
      <c r="TX55" s="499"/>
      <c r="TY55" s="499"/>
      <c r="TZ55" s="499"/>
      <c r="UA55" s="499"/>
      <c r="UB55" s="499"/>
      <c r="UC55" s="499"/>
      <c r="UD55" s="499"/>
      <c r="UE55" s="499"/>
      <c r="UF55" s="499"/>
      <c r="UG55" s="499"/>
      <c r="UH55" s="499"/>
      <c r="UI55" s="499"/>
      <c r="UJ55" s="499"/>
      <c r="UK55" s="499"/>
      <c r="UL55" s="499"/>
      <c r="UM55" s="499"/>
      <c r="UN55" s="499"/>
      <c r="UO55" s="499"/>
      <c r="UP55" s="499"/>
      <c r="UQ55" s="499"/>
      <c r="UR55" s="499"/>
      <c r="US55" s="499"/>
      <c r="UT55" s="499"/>
      <c r="UU55" s="499"/>
      <c r="UV55" s="499"/>
      <c r="UW55" s="499"/>
      <c r="UX55" s="499"/>
      <c r="UY55" s="499"/>
      <c r="UZ55" s="499"/>
      <c r="VA55" s="499"/>
      <c r="VB55" s="499"/>
      <c r="VC55" s="499"/>
      <c r="VD55" s="499"/>
      <c r="VE55" s="499"/>
      <c r="VF55" s="499"/>
      <c r="VG55" s="499"/>
      <c r="VH55" s="499"/>
      <c r="VI55" s="499"/>
      <c r="VJ55" s="499"/>
      <c r="VK55" s="499"/>
      <c r="VL55" s="499"/>
      <c r="VM55" s="499"/>
      <c r="VN55" s="499"/>
      <c r="VO55" s="499"/>
      <c r="VP55" s="499"/>
      <c r="VQ55" s="499"/>
      <c r="VR55" s="499"/>
      <c r="VS55" s="499"/>
      <c r="VT55" s="499"/>
      <c r="VU55" s="499"/>
      <c r="VV55" s="499"/>
      <c r="VW55" s="499"/>
      <c r="VX55" s="499"/>
      <c r="VY55" s="499"/>
      <c r="VZ55" s="499"/>
      <c r="WA55" s="499"/>
      <c r="WB55" s="499"/>
      <c r="WC55" s="499"/>
      <c r="WD55" s="499"/>
      <c r="WE55" s="499"/>
      <c r="WF55" s="499"/>
    </row>
    <row r="56" spans="1:604" s="498" customFormat="1" ht="45" hidden="1" customHeight="1" x14ac:dyDescent="0.2">
      <c r="A56" s="486"/>
      <c r="B56" s="486"/>
      <c r="C56" s="450" t="s">
        <v>651</v>
      </c>
      <c r="D56" s="450" t="s">
        <v>192</v>
      </c>
      <c r="E56" s="435">
        <v>101579</v>
      </c>
      <c r="F56" s="442" t="s">
        <v>620</v>
      </c>
      <c r="G56" s="437">
        <f>'MC-DRE'!Q54</f>
        <v>0</v>
      </c>
      <c r="H56" s="437" t="s">
        <v>2</v>
      </c>
      <c r="I56" s="479">
        <f t="shared" si="4"/>
        <v>35.28</v>
      </c>
      <c r="J56" s="439">
        <f t="shared" si="1"/>
        <v>44.97</v>
      </c>
      <c r="K56" s="476">
        <f t="shared" si="2"/>
        <v>0</v>
      </c>
      <c r="L56" s="446"/>
      <c r="M56" s="446"/>
      <c r="AE56" s="499"/>
      <c r="AF56" s="499"/>
      <c r="AG56" s="499"/>
      <c r="AH56" s="499"/>
      <c r="AI56" s="499"/>
      <c r="AJ56" s="499"/>
      <c r="AK56" s="499"/>
      <c r="AL56" s="499"/>
      <c r="AM56" s="499"/>
      <c r="AN56" s="499"/>
      <c r="AO56" s="499"/>
      <c r="AP56" s="499"/>
      <c r="AQ56" s="499"/>
      <c r="AR56" s="499"/>
      <c r="AS56" s="499"/>
      <c r="AT56" s="499"/>
      <c r="AU56" s="499"/>
      <c r="AV56" s="499"/>
      <c r="AW56" s="499"/>
      <c r="AX56" s="499"/>
      <c r="AY56" s="499"/>
      <c r="AZ56" s="499"/>
      <c r="BA56" s="499"/>
      <c r="BB56" s="499"/>
      <c r="BC56" s="499"/>
      <c r="BD56" s="499"/>
      <c r="BE56" s="499"/>
      <c r="BF56" s="499"/>
      <c r="BG56" s="499"/>
      <c r="BH56" s="499"/>
      <c r="BI56" s="499"/>
      <c r="BJ56" s="499"/>
      <c r="BK56" s="499"/>
      <c r="BL56" s="499"/>
      <c r="BM56" s="499"/>
      <c r="BN56" s="499"/>
      <c r="BO56" s="499"/>
      <c r="BP56" s="499"/>
      <c r="BQ56" s="499"/>
      <c r="BR56" s="499"/>
      <c r="BS56" s="499"/>
      <c r="BT56" s="499"/>
      <c r="BU56" s="499"/>
      <c r="BV56" s="499"/>
      <c r="BW56" s="499"/>
      <c r="BX56" s="499"/>
      <c r="BY56" s="499"/>
      <c r="BZ56" s="499"/>
      <c r="CA56" s="499"/>
      <c r="CB56" s="499"/>
      <c r="CC56" s="499"/>
      <c r="CD56" s="499"/>
      <c r="CE56" s="499"/>
      <c r="CF56" s="499"/>
      <c r="CG56" s="499"/>
      <c r="CH56" s="499"/>
      <c r="CI56" s="499"/>
      <c r="CJ56" s="499"/>
      <c r="CK56" s="499"/>
      <c r="CL56" s="499"/>
      <c r="CM56" s="499"/>
      <c r="CN56" s="499"/>
      <c r="CO56" s="499"/>
      <c r="CP56" s="499"/>
      <c r="CQ56" s="499"/>
      <c r="CR56" s="499"/>
      <c r="CS56" s="499"/>
      <c r="CT56" s="499"/>
      <c r="CU56" s="499"/>
      <c r="CV56" s="499"/>
      <c r="CW56" s="499"/>
      <c r="CX56" s="499"/>
      <c r="CY56" s="499"/>
      <c r="CZ56" s="499"/>
      <c r="DA56" s="499"/>
      <c r="DB56" s="499"/>
      <c r="DC56" s="499"/>
      <c r="DD56" s="499"/>
      <c r="DE56" s="499"/>
      <c r="DF56" s="499"/>
      <c r="DG56" s="499"/>
      <c r="DH56" s="499"/>
      <c r="DI56" s="499"/>
      <c r="DJ56" s="499"/>
      <c r="DK56" s="499"/>
      <c r="DL56" s="499"/>
      <c r="DM56" s="499"/>
      <c r="DN56" s="499"/>
      <c r="DO56" s="499"/>
      <c r="DP56" s="499"/>
      <c r="DQ56" s="499"/>
      <c r="DR56" s="499"/>
      <c r="DS56" s="499"/>
      <c r="DT56" s="499"/>
      <c r="DU56" s="499"/>
      <c r="DV56" s="499"/>
      <c r="DW56" s="499"/>
      <c r="DX56" s="499"/>
      <c r="DY56" s="499"/>
      <c r="DZ56" s="499"/>
      <c r="EA56" s="499"/>
      <c r="EB56" s="499"/>
      <c r="EC56" s="499"/>
      <c r="ED56" s="499"/>
      <c r="EE56" s="499"/>
      <c r="EF56" s="499"/>
      <c r="EG56" s="499"/>
      <c r="EH56" s="499"/>
      <c r="EI56" s="499"/>
      <c r="EJ56" s="499"/>
      <c r="EK56" s="499"/>
      <c r="EL56" s="499"/>
      <c r="EM56" s="499"/>
      <c r="EN56" s="499"/>
      <c r="EO56" s="499"/>
      <c r="EP56" s="499"/>
      <c r="EQ56" s="499"/>
      <c r="ER56" s="499"/>
      <c r="ES56" s="499"/>
      <c r="ET56" s="499"/>
      <c r="EU56" s="499"/>
      <c r="EV56" s="499"/>
      <c r="EW56" s="499"/>
      <c r="EX56" s="499"/>
      <c r="EY56" s="499"/>
      <c r="EZ56" s="499"/>
      <c r="FA56" s="499"/>
      <c r="FB56" s="499"/>
      <c r="FC56" s="499"/>
      <c r="FD56" s="499"/>
      <c r="FE56" s="499"/>
      <c r="FF56" s="499"/>
      <c r="FG56" s="499"/>
      <c r="FH56" s="499"/>
      <c r="FI56" s="499"/>
      <c r="FJ56" s="499"/>
      <c r="FK56" s="499"/>
      <c r="FL56" s="499"/>
      <c r="FM56" s="499"/>
      <c r="FN56" s="499"/>
      <c r="FO56" s="499"/>
      <c r="FP56" s="499"/>
      <c r="FQ56" s="499"/>
      <c r="FR56" s="499"/>
      <c r="FS56" s="499"/>
      <c r="FT56" s="499"/>
      <c r="FU56" s="499"/>
      <c r="FV56" s="499"/>
      <c r="FW56" s="499"/>
      <c r="FX56" s="499"/>
      <c r="FY56" s="499"/>
      <c r="FZ56" s="499"/>
      <c r="GA56" s="499"/>
      <c r="GB56" s="499"/>
      <c r="GC56" s="499"/>
      <c r="GD56" s="499"/>
      <c r="GE56" s="499"/>
      <c r="GF56" s="499"/>
      <c r="GG56" s="499"/>
      <c r="GH56" s="499"/>
      <c r="GI56" s="499"/>
      <c r="GJ56" s="499"/>
      <c r="GK56" s="499"/>
      <c r="GL56" s="499"/>
      <c r="GM56" s="499"/>
      <c r="GN56" s="499"/>
      <c r="GO56" s="499"/>
      <c r="GP56" s="499"/>
      <c r="GQ56" s="499"/>
      <c r="GR56" s="499"/>
      <c r="GS56" s="499"/>
      <c r="GT56" s="499"/>
      <c r="GU56" s="499"/>
      <c r="GV56" s="499"/>
      <c r="GW56" s="499"/>
      <c r="GX56" s="499"/>
      <c r="GY56" s="499"/>
      <c r="GZ56" s="499"/>
      <c r="HA56" s="499"/>
      <c r="HB56" s="499"/>
      <c r="HC56" s="499"/>
      <c r="HD56" s="499"/>
      <c r="HE56" s="499"/>
      <c r="HF56" s="499"/>
      <c r="HG56" s="499"/>
      <c r="HH56" s="499"/>
      <c r="HI56" s="499"/>
      <c r="HJ56" s="499"/>
      <c r="HK56" s="499"/>
      <c r="HL56" s="499"/>
      <c r="HM56" s="499"/>
      <c r="HN56" s="499"/>
      <c r="HO56" s="499"/>
      <c r="HP56" s="499"/>
      <c r="HQ56" s="499"/>
      <c r="HR56" s="499"/>
      <c r="HS56" s="499"/>
      <c r="HT56" s="499"/>
      <c r="HU56" s="499"/>
      <c r="HV56" s="499"/>
      <c r="HW56" s="499"/>
      <c r="HX56" s="499"/>
      <c r="HY56" s="499"/>
      <c r="HZ56" s="499"/>
      <c r="IA56" s="499"/>
      <c r="IB56" s="499"/>
      <c r="IC56" s="499"/>
      <c r="ID56" s="499"/>
      <c r="IE56" s="499"/>
      <c r="IF56" s="499"/>
      <c r="IG56" s="499"/>
      <c r="IH56" s="499"/>
      <c r="II56" s="499"/>
      <c r="IJ56" s="499"/>
      <c r="IK56" s="499"/>
      <c r="IL56" s="499"/>
      <c r="IM56" s="499"/>
      <c r="IN56" s="499"/>
      <c r="IO56" s="499"/>
      <c r="IP56" s="499"/>
      <c r="IQ56" s="499"/>
      <c r="IR56" s="499"/>
      <c r="IS56" s="499"/>
      <c r="IT56" s="499"/>
      <c r="IU56" s="499"/>
      <c r="IV56" s="499"/>
      <c r="IW56" s="499"/>
      <c r="IX56" s="499"/>
      <c r="IY56" s="499"/>
      <c r="IZ56" s="499"/>
      <c r="JA56" s="499"/>
      <c r="JB56" s="499"/>
      <c r="JC56" s="499"/>
      <c r="JD56" s="499"/>
      <c r="JE56" s="499"/>
      <c r="JF56" s="499"/>
      <c r="JG56" s="499"/>
      <c r="JH56" s="499"/>
      <c r="JI56" s="499"/>
      <c r="JJ56" s="499"/>
      <c r="JK56" s="499"/>
      <c r="JL56" s="499"/>
      <c r="JM56" s="499"/>
      <c r="JN56" s="499"/>
      <c r="JO56" s="499"/>
      <c r="JP56" s="499"/>
      <c r="JQ56" s="499"/>
      <c r="JR56" s="499"/>
      <c r="JS56" s="499"/>
      <c r="JT56" s="499"/>
      <c r="JU56" s="499"/>
      <c r="JV56" s="499"/>
      <c r="JW56" s="499"/>
      <c r="JX56" s="499"/>
      <c r="JY56" s="499"/>
      <c r="JZ56" s="499"/>
      <c r="KA56" s="499"/>
      <c r="KB56" s="499"/>
      <c r="KC56" s="499"/>
      <c r="KD56" s="499"/>
      <c r="KE56" s="499"/>
      <c r="KF56" s="499"/>
      <c r="KG56" s="499"/>
      <c r="KH56" s="499"/>
      <c r="KI56" s="499"/>
      <c r="KJ56" s="499"/>
      <c r="KK56" s="499"/>
      <c r="KL56" s="499"/>
      <c r="KM56" s="499"/>
      <c r="KN56" s="499"/>
      <c r="KO56" s="499"/>
      <c r="KP56" s="499"/>
      <c r="KQ56" s="499"/>
      <c r="KR56" s="499"/>
      <c r="KS56" s="499"/>
      <c r="KT56" s="499"/>
      <c r="KU56" s="499"/>
      <c r="KV56" s="499"/>
      <c r="KW56" s="499"/>
      <c r="KX56" s="499"/>
      <c r="KY56" s="499"/>
      <c r="KZ56" s="499"/>
      <c r="LA56" s="499"/>
      <c r="LB56" s="499"/>
      <c r="LC56" s="499"/>
      <c r="LD56" s="499"/>
      <c r="LE56" s="499"/>
      <c r="LF56" s="499"/>
      <c r="LG56" s="499"/>
      <c r="LH56" s="499"/>
      <c r="LI56" s="499"/>
      <c r="LJ56" s="499"/>
      <c r="LK56" s="499"/>
      <c r="LL56" s="499"/>
      <c r="LM56" s="499"/>
      <c r="LN56" s="499"/>
      <c r="LO56" s="499"/>
      <c r="LP56" s="499"/>
      <c r="LQ56" s="499"/>
      <c r="LR56" s="499"/>
      <c r="LS56" s="499"/>
      <c r="LT56" s="499"/>
      <c r="LU56" s="499"/>
      <c r="LV56" s="499"/>
      <c r="LW56" s="499"/>
      <c r="LX56" s="499"/>
      <c r="LY56" s="499"/>
      <c r="LZ56" s="499"/>
      <c r="MA56" s="499"/>
      <c r="MB56" s="499"/>
      <c r="MC56" s="499"/>
      <c r="MD56" s="499"/>
      <c r="ME56" s="499"/>
      <c r="MF56" s="499"/>
      <c r="MG56" s="499"/>
      <c r="MH56" s="499"/>
      <c r="MI56" s="499"/>
      <c r="MJ56" s="499"/>
      <c r="MK56" s="499"/>
      <c r="ML56" s="499"/>
      <c r="MM56" s="499"/>
      <c r="MN56" s="499"/>
      <c r="MO56" s="499"/>
      <c r="MP56" s="499"/>
      <c r="MQ56" s="499"/>
      <c r="MR56" s="499"/>
      <c r="MS56" s="499"/>
      <c r="MT56" s="499"/>
      <c r="MU56" s="499"/>
      <c r="MV56" s="499"/>
      <c r="MW56" s="499"/>
      <c r="MX56" s="499"/>
      <c r="MY56" s="499"/>
      <c r="MZ56" s="499"/>
      <c r="NA56" s="499"/>
      <c r="NB56" s="499"/>
      <c r="NC56" s="499"/>
      <c r="ND56" s="499"/>
      <c r="NE56" s="499"/>
      <c r="NF56" s="499"/>
      <c r="NG56" s="499"/>
      <c r="NH56" s="499"/>
      <c r="NI56" s="499"/>
      <c r="NJ56" s="499"/>
      <c r="NK56" s="499"/>
      <c r="NL56" s="499"/>
      <c r="NM56" s="499"/>
      <c r="NN56" s="499"/>
      <c r="NO56" s="499"/>
      <c r="NP56" s="499"/>
      <c r="NQ56" s="499"/>
      <c r="NR56" s="499"/>
      <c r="NS56" s="499"/>
      <c r="NT56" s="499"/>
      <c r="NU56" s="499"/>
      <c r="NV56" s="499"/>
      <c r="NW56" s="499"/>
      <c r="NX56" s="499"/>
      <c r="NY56" s="499"/>
      <c r="NZ56" s="499"/>
      <c r="OA56" s="499"/>
      <c r="OB56" s="499"/>
      <c r="OC56" s="499"/>
      <c r="OD56" s="499"/>
      <c r="OE56" s="499"/>
      <c r="OF56" s="499"/>
      <c r="OG56" s="499"/>
      <c r="OH56" s="499"/>
      <c r="OI56" s="499"/>
      <c r="OJ56" s="499"/>
      <c r="OK56" s="499"/>
      <c r="OL56" s="499"/>
      <c r="OM56" s="499"/>
      <c r="ON56" s="499"/>
      <c r="OO56" s="499"/>
      <c r="OP56" s="499"/>
      <c r="OQ56" s="499"/>
      <c r="OR56" s="499"/>
      <c r="OS56" s="499"/>
      <c r="OT56" s="499"/>
      <c r="OU56" s="499"/>
      <c r="OV56" s="499"/>
      <c r="OW56" s="499"/>
      <c r="OX56" s="499"/>
      <c r="OY56" s="499"/>
      <c r="OZ56" s="499"/>
      <c r="PA56" s="499"/>
      <c r="PB56" s="499"/>
      <c r="PC56" s="499"/>
      <c r="PD56" s="499"/>
      <c r="PE56" s="499"/>
      <c r="PF56" s="499"/>
      <c r="PG56" s="499"/>
      <c r="PH56" s="499"/>
      <c r="PI56" s="499"/>
      <c r="PJ56" s="499"/>
      <c r="PK56" s="499"/>
      <c r="PL56" s="499"/>
      <c r="PM56" s="499"/>
      <c r="PN56" s="499"/>
      <c r="PO56" s="499"/>
      <c r="PP56" s="499"/>
      <c r="PQ56" s="499"/>
      <c r="PR56" s="499"/>
      <c r="PS56" s="499"/>
      <c r="PT56" s="499"/>
      <c r="PU56" s="499"/>
      <c r="PV56" s="499"/>
      <c r="PW56" s="499"/>
      <c r="PX56" s="499"/>
      <c r="PY56" s="499"/>
      <c r="PZ56" s="499"/>
      <c r="QA56" s="499"/>
      <c r="QB56" s="499"/>
      <c r="QC56" s="499"/>
      <c r="QD56" s="499"/>
      <c r="QE56" s="499"/>
      <c r="QF56" s="499"/>
      <c r="QG56" s="499"/>
      <c r="QH56" s="499"/>
      <c r="QI56" s="499"/>
      <c r="QJ56" s="499"/>
      <c r="QK56" s="499"/>
      <c r="QL56" s="499"/>
      <c r="QM56" s="499"/>
      <c r="QN56" s="499"/>
      <c r="QO56" s="499"/>
      <c r="QP56" s="499"/>
      <c r="QQ56" s="499"/>
      <c r="QR56" s="499"/>
      <c r="QS56" s="499"/>
      <c r="QT56" s="499"/>
      <c r="QU56" s="499"/>
      <c r="QV56" s="499"/>
      <c r="QW56" s="499"/>
      <c r="QX56" s="499"/>
      <c r="QY56" s="499"/>
      <c r="QZ56" s="499"/>
      <c r="RA56" s="499"/>
      <c r="RB56" s="499"/>
      <c r="RC56" s="499"/>
      <c r="RD56" s="499"/>
      <c r="RE56" s="499"/>
      <c r="RF56" s="499"/>
      <c r="RG56" s="499"/>
      <c r="RH56" s="499"/>
      <c r="RI56" s="499"/>
      <c r="RJ56" s="499"/>
      <c r="RK56" s="499"/>
      <c r="RL56" s="499"/>
      <c r="RM56" s="499"/>
      <c r="RN56" s="499"/>
      <c r="RO56" s="499"/>
      <c r="RP56" s="499"/>
      <c r="RQ56" s="499"/>
      <c r="RR56" s="499"/>
      <c r="RS56" s="499"/>
      <c r="RT56" s="499"/>
      <c r="RU56" s="499"/>
      <c r="RV56" s="499"/>
      <c r="RW56" s="499"/>
      <c r="RX56" s="499"/>
      <c r="RY56" s="499"/>
      <c r="RZ56" s="499"/>
      <c r="SA56" s="499"/>
      <c r="SB56" s="499"/>
      <c r="SC56" s="499"/>
      <c r="SD56" s="499"/>
      <c r="SE56" s="499"/>
      <c r="SF56" s="499"/>
      <c r="SG56" s="499"/>
      <c r="SH56" s="499"/>
      <c r="SI56" s="499"/>
      <c r="SJ56" s="499"/>
      <c r="SK56" s="499"/>
      <c r="SL56" s="499"/>
      <c r="SM56" s="499"/>
      <c r="SN56" s="499"/>
      <c r="SO56" s="499"/>
      <c r="SP56" s="499"/>
      <c r="SQ56" s="499"/>
      <c r="SR56" s="499"/>
      <c r="SS56" s="499"/>
      <c r="ST56" s="499"/>
      <c r="SU56" s="499"/>
      <c r="SV56" s="499"/>
      <c r="SW56" s="499"/>
      <c r="SX56" s="499"/>
      <c r="SY56" s="499"/>
      <c r="SZ56" s="499"/>
      <c r="TA56" s="499"/>
      <c r="TB56" s="499"/>
      <c r="TC56" s="499"/>
      <c r="TD56" s="499"/>
      <c r="TE56" s="499"/>
      <c r="TF56" s="499"/>
      <c r="TG56" s="499"/>
      <c r="TH56" s="499"/>
      <c r="TI56" s="499"/>
      <c r="TJ56" s="499"/>
      <c r="TK56" s="499"/>
      <c r="TL56" s="499"/>
      <c r="TM56" s="499"/>
      <c r="TN56" s="499"/>
      <c r="TO56" s="499"/>
      <c r="TP56" s="499"/>
      <c r="TQ56" s="499"/>
      <c r="TR56" s="499"/>
      <c r="TS56" s="499"/>
      <c r="TT56" s="499"/>
      <c r="TU56" s="499"/>
      <c r="TV56" s="499"/>
      <c r="TW56" s="499"/>
      <c r="TX56" s="499"/>
      <c r="TY56" s="499"/>
      <c r="TZ56" s="499"/>
      <c r="UA56" s="499"/>
      <c r="UB56" s="499"/>
      <c r="UC56" s="499"/>
      <c r="UD56" s="499"/>
      <c r="UE56" s="499"/>
      <c r="UF56" s="499"/>
      <c r="UG56" s="499"/>
      <c r="UH56" s="499"/>
      <c r="UI56" s="499"/>
      <c r="UJ56" s="499"/>
      <c r="UK56" s="499"/>
      <c r="UL56" s="499"/>
      <c r="UM56" s="499"/>
      <c r="UN56" s="499"/>
      <c r="UO56" s="499"/>
      <c r="UP56" s="499"/>
      <c r="UQ56" s="499"/>
      <c r="UR56" s="499"/>
      <c r="US56" s="499"/>
      <c r="UT56" s="499"/>
      <c r="UU56" s="499"/>
      <c r="UV56" s="499"/>
      <c r="UW56" s="499"/>
      <c r="UX56" s="499"/>
      <c r="UY56" s="499"/>
      <c r="UZ56" s="499"/>
      <c r="VA56" s="499"/>
      <c r="VB56" s="499"/>
      <c r="VC56" s="499"/>
      <c r="VD56" s="499"/>
      <c r="VE56" s="499"/>
      <c r="VF56" s="499"/>
      <c r="VG56" s="499"/>
      <c r="VH56" s="499"/>
      <c r="VI56" s="499"/>
      <c r="VJ56" s="499"/>
      <c r="VK56" s="499"/>
      <c r="VL56" s="499"/>
      <c r="VM56" s="499"/>
      <c r="VN56" s="499"/>
      <c r="VO56" s="499"/>
      <c r="VP56" s="499"/>
      <c r="VQ56" s="499"/>
      <c r="VR56" s="499"/>
      <c r="VS56" s="499"/>
      <c r="VT56" s="499"/>
      <c r="VU56" s="499"/>
      <c r="VV56" s="499"/>
      <c r="VW56" s="499"/>
      <c r="VX56" s="499"/>
      <c r="VY56" s="499"/>
      <c r="VZ56" s="499"/>
      <c r="WA56" s="499"/>
      <c r="WB56" s="499"/>
      <c r="WC56" s="499"/>
      <c r="WD56" s="499"/>
      <c r="WE56" s="499"/>
      <c r="WF56" s="499"/>
    </row>
    <row r="57" spans="1:604" s="498" customFormat="1" ht="63" hidden="1" x14ac:dyDescent="0.2">
      <c r="A57" s="486"/>
      <c r="B57" s="486"/>
      <c r="C57" s="450" t="s">
        <v>652</v>
      </c>
      <c r="D57" s="440" t="s">
        <v>192</v>
      </c>
      <c r="E57" s="440">
        <v>92826</v>
      </c>
      <c r="F57" s="442" t="s">
        <v>444</v>
      </c>
      <c r="G57" s="437">
        <f>'MC-DRE'!R54</f>
        <v>0</v>
      </c>
      <c r="H57" s="438" t="s">
        <v>3</v>
      </c>
      <c r="I57" s="479">
        <v>116.87</v>
      </c>
      <c r="J57" s="439">
        <f t="shared" si="1"/>
        <v>148.96</v>
      </c>
      <c r="K57" s="476">
        <f t="shared" si="2"/>
        <v>0</v>
      </c>
      <c r="L57" s="446"/>
      <c r="M57" s="446"/>
      <c r="AE57" s="499"/>
      <c r="AF57" s="499"/>
      <c r="AG57" s="499"/>
      <c r="AH57" s="499"/>
      <c r="AI57" s="499"/>
      <c r="AJ57" s="499"/>
      <c r="AK57" s="499"/>
      <c r="AL57" s="499"/>
      <c r="AM57" s="499"/>
      <c r="AN57" s="499"/>
      <c r="AO57" s="499"/>
      <c r="AP57" s="499"/>
      <c r="AQ57" s="499"/>
      <c r="AR57" s="499"/>
      <c r="AS57" s="499"/>
      <c r="AT57" s="499"/>
      <c r="AU57" s="499"/>
      <c r="AV57" s="499"/>
      <c r="AW57" s="499"/>
      <c r="AX57" s="499"/>
      <c r="AY57" s="499"/>
      <c r="AZ57" s="499"/>
      <c r="BA57" s="499"/>
      <c r="BB57" s="499"/>
      <c r="BC57" s="499"/>
      <c r="BD57" s="499"/>
      <c r="BE57" s="499"/>
      <c r="BF57" s="499"/>
      <c r="BG57" s="499"/>
      <c r="BH57" s="499"/>
      <c r="BI57" s="499"/>
      <c r="BJ57" s="499"/>
      <c r="BK57" s="499"/>
      <c r="BL57" s="499"/>
      <c r="BM57" s="499"/>
      <c r="BN57" s="499"/>
      <c r="BO57" s="499"/>
      <c r="BP57" s="499"/>
      <c r="BQ57" s="499"/>
      <c r="BR57" s="499"/>
      <c r="BS57" s="499"/>
      <c r="BT57" s="499"/>
      <c r="BU57" s="499"/>
      <c r="BV57" s="499"/>
      <c r="BW57" s="499"/>
      <c r="BX57" s="499"/>
      <c r="BY57" s="499"/>
      <c r="BZ57" s="499"/>
      <c r="CA57" s="499"/>
      <c r="CB57" s="499"/>
      <c r="CC57" s="499"/>
      <c r="CD57" s="499"/>
      <c r="CE57" s="499"/>
      <c r="CF57" s="499"/>
      <c r="CG57" s="499"/>
      <c r="CH57" s="499"/>
      <c r="CI57" s="499"/>
      <c r="CJ57" s="499"/>
      <c r="CK57" s="499"/>
      <c r="CL57" s="499"/>
      <c r="CM57" s="499"/>
      <c r="CN57" s="499"/>
      <c r="CO57" s="499"/>
      <c r="CP57" s="499"/>
      <c r="CQ57" s="499"/>
      <c r="CR57" s="499"/>
      <c r="CS57" s="499"/>
      <c r="CT57" s="499"/>
      <c r="CU57" s="499"/>
      <c r="CV57" s="499"/>
      <c r="CW57" s="499"/>
      <c r="CX57" s="499"/>
      <c r="CY57" s="499"/>
      <c r="CZ57" s="499"/>
      <c r="DA57" s="499"/>
      <c r="DB57" s="499"/>
      <c r="DC57" s="499"/>
      <c r="DD57" s="499"/>
      <c r="DE57" s="499"/>
      <c r="DF57" s="499"/>
      <c r="DG57" s="499"/>
      <c r="DH57" s="499"/>
      <c r="DI57" s="499"/>
      <c r="DJ57" s="499"/>
      <c r="DK57" s="499"/>
      <c r="DL57" s="499"/>
      <c r="DM57" s="499"/>
      <c r="DN57" s="499"/>
      <c r="DO57" s="499"/>
      <c r="DP57" s="499"/>
      <c r="DQ57" s="499"/>
      <c r="DR57" s="499"/>
      <c r="DS57" s="499"/>
      <c r="DT57" s="499"/>
      <c r="DU57" s="499"/>
      <c r="DV57" s="499"/>
      <c r="DW57" s="499"/>
      <c r="DX57" s="499"/>
      <c r="DY57" s="499"/>
      <c r="DZ57" s="499"/>
      <c r="EA57" s="499"/>
      <c r="EB57" s="499"/>
      <c r="EC57" s="499"/>
      <c r="ED57" s="499"/>
      <c r="EE57" s="499"/>
      <c r="EF57" s="499"/>
      <c r="EG57" s="499"/>
      <c r="EH57" s="499"/>
      <c r="EI57" s="499"/>
      <c r="EJ57" s="499"/>
      <c r="EK57" s="499"/>
      <c r="EL57" s="499"/>
      <c r="EM57" s="499"/>
      <c r="EN57" s="499"/>
      <c r="EO57" s="499"/>
      <c r="EP57" s="499"/>
      <c r="EQ57" s="499"/>
      <c r="ER57" s="499"/>
      <c r="ES57" s="499"/>
      <c r="ET57" s="499"/>
      <c r="EU57" s="499"/>
      <c r="EV57" s="499"/>
      <c r="EW57" s="499"/>
      <c r="EX57" s="499"/>
      <c r="EY57" s="499"/>
      <c r="EZ57" s="499"/>
      <c r="FA57" s="499"/>
      <c r="FB57" s="499"/>
      <c r="FC57" s="499"/>
      <c r="FD57" s="499"/>
      <c r="FE57" s="499"/>
      <c r="FF57" s="499"/>
      <c r="FG57" s="499"/>
      <c r="FH57" s="499"/>
      <c r="FI57" s="499"/>
      <c r="FJ57" s="499"/>
      <c r="FK57" s="499"/>
      <c r="FL57" s="499"/>
      <c r="FM57" s="499"/>
      <c r="FN57" s="499"/>
      <c r="FO57" s="499"/>
      <c r="FP57" s="499"/>
      <c r="FQ57" s="499"/>
      <c r="FR57" s="499"/>
      <c r="FS57" s="499"/>
      <c r="FT57" s="499"/>
      <c r="FU57" s="499"/>
      <c r="FV57" s="499"/>
      <c r="FW57" s="499"/>
      <c r="FX57" s="499"/>
      <c r="FY57" s="499"/>
      <c r="FZ57" s="499"/>
      <c r="GA57" s="499"/>
      <c r="GB57" s="499"/>
      <c r="GC57" s="499"/>
      <c r="GD57" s="499"/>
      <c r="GE57" s="499"/>
      <c r="GF57" s="499"/>
      <c r="GG57" s="499"/>
      <c r="GH57" s="499"/>
      <c r="GI57" s="499"/>
      <c r="GJ57" s="499"/>
      <c r="GK57" s="499"/>
      <c r="GL57" s="499"/>
      <c r="GM57" s="499"/>
      <c r="GN57" s="499"/>
      <c r="GO57" s="499"/>
      <c r="GP57" s="499"/>
      <c r="GQ57" s="499"/>
      <c r="GR57" s="499"/>
      <c r="GS57" s="499"/>
      <c r="GT57" s="499"/>
      <c r="GU57" s="499"/>
      <c r="GV57" s="499"/>
      <c r="GW57" s="499"/>
      <c r="GX57" s="499"/>
      <c r="GY57" s="499"/>
      <c r="GZ57" s="499"/>
      <c r="HA57" s="499"/>
      <c r="HB57" s="499"/>
      <c r="HC57" s="499"/>
      <c r="HD57" s="499"/>
      <c r="HE57" s="499"/>
      <c r="HF57" s="499"/>
      <c r="HG57" s="499"/>
      <c r="HH57" s="499"/>
      <c r="HI57" s="499"/>
      <c r="HJ57" s="499"/>
      <c r="HK57" s="499"/>
      <c r="HL57" s="499"/>
      <c r="HM57" s="499"/>
      <c r="HN57" s="499"/>
      <c r="HO57" s="499"/>
      <c r="HP57" s="499"/>
      <c r="HQ57" s="499"/>
      <c r="HR57" s="499"/>
      <c r="HS57" s="499"/>
      <c r="HT57" s="499"/>
      <c r="HU57" s="499"/>
      <c r="HV57" s="499"/>
      <c r="HW57" s="499"/>
      <c r="HX57" s="499"/>
      <c r="HY57" s="499"/>
      <c r="HZ57" s="499"/>
      <c r="IA57" s="499"/>
      <c r="IB57" s="499"/>
      <c r="IC57" s="499"/>
      <c r="ID57" s="499"/>
      <c r="IE57" s="499"/>
      <c r="IF57" s="499"/>
      <c r="IG57" s="499"/>
      <c r="IH57" s="499"/>
      <c r="II57" s="499"/>
      <c r="IJ57" s="499"/>
      <c r="IK57" s="499"/>
      <c r="IL57" s="499"/>
      <c r="IM57" s="499"/>
      <c r="IN57" s="499"/>
      <c r="IO57" s="499"/>
      <c r="IP57" s="499"/>
      <c r="IQ57" s="499"/>
      <c r="IR57" s="499"/>
      <c r="IS57" s="499"/>
      <c r="IT57" s="499"/>
      <c r="IU57" s="499"/>
      <c r="IV57" s="499"/>
      <c r="IW57" s="499"/>
      <c r="IX57" s="499"/>
      <c r="IY57" s="499"/>
      <c r="IZ57" s="499"/>
      <c r="JA57" s="499"/>
      <c r="JB57" s="499"/>
      <c r="JC57" s="499"/>
      <c r="JD57" s="499"/>
      <c r="JE57" s="499"/>
      <c r="JF57" s="499"/>
      <c r="JG57" s="499"/>
      <c r="JH57" s="499"/>
      <c r="JI57" s="499"/>
      <c r="JJ57" s="499"/>
      <c r="JK57" s="499"/>
      <c r="JL57" s="499"/>
      <c r="JM57" s="499"/>
      <c r="JN57" s="499"/>
      <c r="JO57" s="499"/>
      <c r="JP57" s="499"/>
      <c r="JQ57" s="499"/>
      <c r="JR57" s="499"/>
      <c r="JS57" s="499"/>
      <c r="JT57" s="499"/>
      <c r="JU57" s="499"/>
      <c r="JV57" s="499"/>
      <c r="JW57" s="499"/>
      <c r="JX57" s="499"/>
      <c r="JY57" s="499"/>
      <c r="JZ57" s="499"/>
      <c r="KA57" s="499"/>
      <c r="KB57" s="499"/>
      <c r="KC57" s="499"/>
      <c r="KD57" s="499"/>
      <c r="KE57" s="499"/>
      <c r="KF57" s="499"/>
      <c r="KG57" s="499"/>
      <c r="KH57" s="499"/>
      <c r="KI57" s="499"/>
      <c r="KJ57" s="499"/>
      <c r="KK57" s="499"/>
      <c r="KL57" s="499"/>
      <c r="KM57" s="499"/>
      <c r="KN57" s="499"/>
      <c r="KO57" s="499"/>
      <c r="KP57" s="499"/>
      <c r="KQ57" s="499"/>
      <c r="KR57" s="499"/>
      <c r="KS57" s="499"/>
      <c r="KT57" s="499"/>
      <c r="KU57" s="499"/>
      <c r="KV57" s="499"/>
      <c r="KW57" s="499"/>
      <c r="KX57" s="499"/>
      <c r="KY57" s="499"/>
      <c r="KZ57" s="499"/>
      <c r="LA57" s="499"/>
      <c r="LB57" s="499"/>
      <c r="LC57" s="499"/>
      <c r="LD57" s="499"/>
      <c r="LE57" s="499"/>
      <c r="LF57" s="499"/>
      <c r="LG57" s="499"/>
      <c r="LH57" s="499"/>
      <c r="LI57" s="499"/>
      <c r="LJ57" s="499"/>
      <c r="LK57" s="499"/>
      <c r="LL57" s="499"/>
      <c r="LM57" s="499"/>
      <c r="LN57" s="499"/>
      <c r="LO57" s="499"/>
      <c r="LP57" s="499"/>
      <c r="LQ57" s="499"/>
      <c r="LR57" s="499"/>
      <c r="LS57" s="499"/>
      <c r="LT57" s="499"/>
      <c r="LU57" s="499"/>
      <c r="LV57" s="499"/>
      <c r="LW57" s="499"/>
      <c r="LX57" s="499"/>
      <c r="LY57" s="499"/>
      <c r="LZ57" s="499"/>
      <c r="MA57" s="499"/>
      <c r="MB57" s="499"/>
      <c r="MC57" s="499"/>
      <c r="MD57" s="499"/>
      <c r="ME57" s="499"/>
      <c r="MF57" s="499"/>
      <c r="MG57" s="499"/>
      <c r="MH57" s="499"/>
      <c r="MI57" s="499"/>
      <c r="MJ57" s="499"/>
      <c r="MK57" s="499"/>
      <c r="ML57" s="499"/>
      <c r="MM57" s="499"/>
      <c r="MN57" s="499"/>
      <c r="MO57" s="499"/>
      <c r="MP57" s="499"/>
      <c r="MQ57" s="499"/>
      <c r="MR57" s="499"/>
      <c r="MS57" s="499"/>
      <c r="MT57" s="499"/>
      <c r="MU57" s="499"/>
      <c r="MV57" s="499"/>
      <c r="MW57" s="499"/>
      <c r="MX57" s="499"/>
      <c r="MY57" s="499"/>
      <c r="MZ57" s="499"/>
      <c r="NA57" s="499"/>
      <c r="NB57" s="499"/>
      <c r="NC57" s="499"/>
      <c r="ND57" s="499"/>
      <c r="NE57" s="499"/>
      <c r="NF57" s="499"/>
      <c r="NG57" s="499"/>
      <c r="NH57" s="499"/>
      <c r="NI57" s="499"/>
      <c r="NJ57" s="499"/>
      <c r="NK57" s="499"/>
      <c r="NL57" s="499"/>
      <c r="NM57" s="499"/>
      <c r="NN57" s="499"/>
      <c r="NO57" s="499"/>
      <c r="NP57" s="499"/>
      <c r="NQ57" s="499"/>
      <c r="NR57" s="499"/>
      <c r="NS57" s="499"/>
      <c r="NT57" s="499"/>
      <c r="NU57" s="499"/>
      <c r="NV57" s="499"/>
      <c r="NW57" s="499"/>
      <c r="NX57" s="499"/>
      <c r="NY57" s="499"/>
      <c r="NZ57" s="499"/>
      <c r="OA57" s="499"/>
      <c r="OB57" s="499"/>
      <c r="OC57" s="499"/>
      <c r="OD57" s="499"/>
      <c r="OE57" s="499"/>
      <c r="OF57" s="499"/>
      <c r="OG57" s="499"/>
      <c r="OH57" s="499"/>
      <c r="OI57" s="499"/>
      <c r="OJ57" s="499"/>
      <c r="OK57" s="499"/>
      <c r="OL57" s="499"/>
      <c r="OM57" s="499"/>
      <c r="ON57" s="499"/>
      <c r="OO57" s="499"/>
      <c r="OP57" s="499"/>
      <c r="OQ57" s="499"/>
      <c r="OR57" s="499"/>
      <c r="OS57" s="499"/>
      <c r="OT57" s="499"/>
      <c r="OU57" s="499"/>
      <c r="OV57" s="499"/>
      <c r="OW57" s="499"/>
      <c r="OX57" s="499"/>
      <c r="OY57" s="499"/>
      <c r="OZ57" s="499"/>
      <c r="PA57" s="499"/>
      <c r="PB57" s="499"/>
      <c r="PC57" s="499"/>
      <c r="PD57" s="499"/>
      <c r="PE57" s="499"/>
      <c r="PF57" s="499"/>
      <c r="PG57" s="499"/>
      <c r="PH57" s="499"/>
      <c r="PI57" s="499"/>
      <c r="PJ57" s="499"/>
      <c r="PK57" s="499"/>
      <c r="PL57" s="499"/>
      <c r="PM57" s="499"/>
      <c r="PN57" s="499"/>
      <c r="PO57" s="499"/>
      <c r="PP57" s="499"/>
      <c r="PQ57" s="499"/>
      <c r="PR57" s="499"/>
      <c r="PS57" s="499"/>
      <c r="PT57" s="499"/>
      <c r="PU57" s="499"/>
      <c r="PV57" s="499"/>
      <c r="PW57" s="499"/>
      <c r="PX57" s="499"/>
      <c r="PY57" s="499"/>
      <c r="PZ57" s="499"/>
      <c r="QA57" s="499"/>
      <c r="QB57" s="499"/>
      <c r="QC57" s="499"/>
      <c r="QD57" s="499"/>
      <c r="QE57" s="499"/>
      <c r="QF57" s="499"/>
      <c r="QG57" s="499"/>
      <c r="QH57" s="499"/>
      <c r="QI57" s="499"/>
      <c r="QJ57" s="499"/>
      <c r="QK57" s="499"/>
      <c r="QL57" s="499"/>
      <c r="QM57" s="499"/>
      <c r="QN57" s="499"/>
      <c r="QO57" s="499"/>
      <c r="QP57" s="499"/>
      <c r="QQ57" s="499"/>
      <c r="QR57" s="499"/>
      <c r="QS57" s="499"/>
      <c r="QT57" s="499"/>
      <c r="QU57" s="499"/>
      <c r="QV57" s="499"/>
      <c r="QW57" s="499"/>
      <c r="QX57" s="499"/>
      <c r="QY57" s="499"/>
      <c r="QZ57" s="499"/>
      <c r="RA57" s="499"/>
      <c r="RB57" s="499"/>
      <c r="RC57" s="499"/>
      <c r="RD57" s="499"/>
      <c r="RE57" s="499"/>
      <c r="RF57" s="499"/>
      <c r="RG57" s="499"/>
      <c r="RH57" s="499"/>
      <c r="RI57" s="499"/>
      <c r="RJ57" s="499"/>
      <c r="RK57" s="499"/>
      <c r="RL57" s="499"/>
      <c r="RM57" s="499"/>
      <c r="RN57" s="499"/>
      <c r="RO57" s="499"/>
      <c r="RP57" s="499"/>
      <c r="RQ57" s="499"/>
      <c r="RR57" s="499"/>
      <c r="RS57" s="499"/>
      <c r="RT57" s="499"/>
      <c r="RU57" s="499"/>
      <c r="RV57" s="499"/>
      <c r="RW57" s="499"/>
      <c r="RX57" s="499"/>
      <c r="RY57" s="499"/>
      <c r="RZ57" s="499"/>
      <c r="SA57" s="499"/>
      <c r="SB57" s="499"/>
      <c r="SC57" s="499"/>
      <c r="SD57" s="499"/>
      <c r="SE57" s="499"/>
      <c r="SF57" s="499"/>
      <c r="SG57" s="499"/>
      <c r="SH57" s="499"/>
      <c r="SI57" s="499"/>
      <c r="SJ57" s="499"/>
      <c r="SK57" s="499"/>
      <c r="SL57" s="499"/>
      <c r="SM57" s="499"/>
      <c r="SN57" s="499"/>
      <c r="SO57" s="499"/>
      <c r="SP57" s="499"/>
      <c r="SQ57" s="499"/>
      <c r="SR57" s="499"/>
      <c r="SS57" s="499"/>
      <c r="ST57" s="499"/>
      <c r="SU57" s="499"/>
      <c r="SV57" s="499"/>
      <c r="SW57" s="499"/>
      <c r="SX57" s="499"/>
      <c r="SY57" s="499"/>
      <c r="SZ57" s="499"/>
      <c r="TA57" s="499"/>
      <c r="TB57" s="499"/>
      <c r="TC57" s="499"/>
      <c r="TD57" s="499"/>
      <c r="TE57" s="499"/>
      <c r="TF57" s="499"/>
      <c r="TG57" s="499"/>
      <c r="TH57" s="499"/>
      <c r="TI57" s="499"/>
      <c r="TJ57" s="499"/>
      <c r="TK57" s="499"/>
      <c r="TL57" s="499"/>
      <c r="TM57" s="499"/>
      <c r="TN57" s="499"/>
      <c r="TO57" s="499"/>
      <c r="TP57" s="499"/>
      <c r="TQ57" s="499"/>
      <c r="TR57" s="499"/>
      <c r="TS57" s="499"/>
      <c r="TT57" s="499"/>
      <c r="TU57" s="499"/>
      <c r="TV57" s="499"/>
      <c r="TW57" s="499"/>
      <c r="TX57" s="499"/>
      <c r="TY57" s="499"/>
      <c r="TZ57" s="499"/>
      <c r="UA57" s="499"/>
      <c r="UB57" s="499"/>
      <c r="UC57" s="499"/>
      <c r="UD57" s="499"/>
      <c r="UE57" s="499"/>
      <c r="UF57" s="499"/>
      <c r="UG57" s="499"/>
      <c r="UH57" s="499"/>
      <c r="UI57" s="499"/>
      <c r="UJ57" s="499"/>
      <c r="UK57" s="499"/>
      <c r="UL57" s="499"/>
      <c r="UM57" s="499"/>
      <c r="UN57" s="499"/>
      <c r="UO57" s="499"/>
      <c r="UP57" s="499"/>
      <c r="UQ57" s="499"/>
      <c r="UR57" s="499"/>
      <c r="US57" s="499"/>
      <c r="UT57" s="499"/>
      <c r="UU57" s="499"/>
      <c r="UV57" s="499"/>
      <c r="UW57" s="499"/>
      <c r="UX57" s="499"/>
      <c r="UY57" s="499"/>
      <c r="UZ57" s="499"/>
      <c r="VA57" s="499"/>
      <c r="VB57" s="499"/>
      <c r="VC57" s="499"/>
      <c r="VD57" s="499"/>
      <c r="VE57" s="499"/>
      <c r="VF57" s="499"/>
      <c r="VG57" s="499"/>
      <c r="VH57" s="499"/>
      <c r="VI57" s="499"/>
      <c r="VJ57" s="499"/>
      <c r="VK57" s="499"/>
      <c r="VL57" s="499"/>
      <c r="VM57" s="499"/>
      <c r="VN57" s="499"/>
      <c r="VO57" s="499"/>
      <c r="VP57" s="499"/>
      <c r="VQ57" s="499"/>
      <c r="VR57" s="499"/>
      <c r="VS57" s="499"/>
      <c r="VT57" s="499"/>
      <c r="VU57" s="499"/>
      <c r="VV57" s="499"/>
      <c r="VW57" s="499"/>
      <c r="VX57" s="499"/>
      <c r="VY57" s="499"/>
      <c r="VZ57" s="499"/>
      <c r="WA57" s="499"/>
      <c r="WB57" s="499"/>
      <c r="WC57" s="499"/>
      <c r="WD57" s="499"/>
      <c r="WE57" s="499"/>
      <c r="WF57" s="499"/>
    </row>
    <row r="58" spans="1:604" s="498" customFormat="1" ht="45" hidden="1" customHeight="1" x14ac:dyDescent="0.2">
      <c r="A58" s="486"/>
      <c r="B58" s="486"/>
      <c r="C58" s="489" t="s">
        <v>653</v>
      </c>
      <c r="D58" s="487" t="s">
        <v>190</v>
      </c>
      <c r="E58" s="447" t="s">
        <v>232</v>
      </c>
      <c r="F58" s="448" t="s">
        <v>247</v>
      </c>
      <c r="G58" s="437">
        <f>'MC-DRE'!E70</f>
        <v>0</v>
      </c>
      <c r="H58" s="440" t="s">
        <v>328</v>
      </c>
      <c r="I58" s="479">
        <v>574.04</v>
      </c>
      <c r="J58" s="439">
        <f t="shared" si="1"/>
        <v>731.67</v>
      </c>
      <c r="K58" s="476">
        <f t="shared" si="2"/>
        <v>0</v>
      </c>
      <c r="L58" s="446"/>
      <c r="M58" s="446"/>
      <c r="AE58" s="499"/>
      <c r="AF58" s="499"/>
      <c r="AG58" s="499"/>
      <c r="AH58" s="499"/>
      <c r="AI58" s="499"/>
      <c r="AJ58" s="499"/>
      <c r="AK58" s="499"/>
      <c r="AL58" s="499"/>
      <c r="AM58" s="499"/>
      <c r="AN58" s="499"/>
      <c r="AO58" s="499"/>
      <c r="AP58" s="499"/>
      <c r="AQ58" s="499"/>
      <c r="AR58" s="499"/>
      <c r="AS58" s="499"/>
      <c r="AT58" s="499"/>
      <c r="AU58" s="499"/>
      <c r="AV58" s="499"/>
      <c r="AW58" s="499"/>
      <c r="AX58" s="499"/>
      <c r="AY58" s="499"/>
      <c r="AZ58" s="499"/>
      <c r="BA58" s="499"/>
      <c r="BB58" s="499"/>
      <c r="BC58" s="499"/>
      <c r="BD58" s="499"/>
      <c r="BE58" s="499"/>
      <c r="BF58" s="499"/>
      <c r="BG58" s="499"/>
      <c r="BH58" s="499"/>
      <c r="BI58" s="499"/>
      <c r="BJ58" s="499"/>
      <c r="BK58" s="499"/>
      <c r="BL58" s="499"/>
      <c r="BM58" s="499"/>
      <c r="BN58" s="499"/>
      <c r="BO58" s="499"/>
      <c r="BP58" s="499"/>
      <c r="BQ58" s="499"/>
      <c r="BR58" s="499"/>
      <c r="BS58" s="499"/>
      <c r="BT58" s="499"/>
      <c r="BU58" s="499"/>
      <c r="BV58" s="499"/>
      <c r="BW58" s="499"/>
      <c r="BX58" s="499"/>
      <c r="BY58" s="499"/>
      <c r="BZ58" s="499"/>
      <c r="CA58" s="499"/>
      <c r="CB58" s="499"/>
      <c r="CC58" s="499"/>
      <c r="CD58" s="499"/>
      <c r="CE58" s="499"/>
      <c r="CF58" s="499"/>
      <c r="CG58" s="499"/>
      <c r="CH58" s="499"/>
      <c r="CI58" s="499"/>
      <c r="CJ58" s="499"/>
      <c r="CK58" s="499"/>
      <c r="CL58" s="499"/>
      <c r="CM58" s="499"/>
      <c r="CN58" s="499"/>
      <c r="CO58" s="499"/>
      <c r="CP58" s="499"/>
      <c r="CQ58" s="499"/>
      <c r="CR58" s="499"/>
      <c r="CS58" s="499"/>
      <c r="CT58" s="499"/>
      <c r="CU58" s="499"/>
      <c r="CV58" s="499"/>
      <c r="CW58" s="499"/>
      <c r="CX58" s="499"/>
      <c r="CY58" s="499"/>
      <c r="CZ58" s="499"/>
      <c r="DA58" s="499"/>
      <c r="DB58" s="499"/>
      <c r="DC58" s="499"/>
      <c r="DD58" s="499"/>
      <c r="DE58" s="499"/>
      <c r="DF58" s="499"/>
      <c r="DG58" s="499"/>
      <c r="DH58" s="499"/>
      <c r="DI58" s="499"/>
      <c r="DJ58" s="499"/>
      <c r="DK58" s="499"/>
      <c r="DL58" s="499"/>
      <c r="DM58" s="499"/>
      <c r="DN58" s="499"/>
      <c r="DO58" s="499"/>
      <c r="DP58" s="499"/>
      <c r="DQ58" s="499"/>
      <c r="DR58" s="499"/>
      <c r="DS58" s="499"/>
      <c r="DT58" s="499"/>
      <c r="DU58" s="499"/>
      <c r="DV58" s="499"/>
      <c r="DW58" s="499"/>
      <c r="DX58" s="499"/>
      <c r="DY58" s="499"/>
      <c r="DZ58" s="499"/>
      <c r="EA58" s="499"/>
      <c r="EB58" s="499"/>
      <c r="EC58" s="499"/>
      <c r="ED58" s="499"/>
      <c r="EE58" s="499"/>
      <c r="EF58" s="499"/>
      <c r="EG58" s="499"/>
      <c r="EH58" s="499"/>
      <c r="EI58" s="499"/>
      <c r="EJ58" s="499"/>
      <c r="EK58" s="499"/>
      <c r="EL58" s="499"/>
      <c r="EM58" s="499"/>
      <c r="EN58" s="499"/>
      <c r="EO58" s="499"/>
      <c r="EP58" s="499"/>
      <c r="EQ58" s="499"/>
      <c r="ER58" s="499"/>
      <c r="ES58" s="499"/>
      <c r="ET58" s="499"/>
      <c r="EU58" s="499"/>
      <c r="EV58" s="499"/>
      <c r="EW58" s="499"/>
      <c r="EX58" s="499"/>
      <c r="EY58" s="499"/>
      <c r="EZ58" s="499"/>
      <c r="FA58" s="499"/>
      <c r="FB58" s="499"/>
      <c r="FC58" s="499"/>
      <c r="FD58" s="499"/>
      <c r="FE58" s="499"/>
      <c r="FF58" s="499"/>
      <c r="FG58" s="499"/>
      <c r="FH58" s="499"/>
      <c r="FI58" s="499"/>
      <c r="FJ58" s="499"/>
      <c r="FK58" s="499"/>
      <c r="FL58" s="499"/>
      <c r="FM58" s="499"/>
      <c r="FN58" s="499"/>
      <c r="FO58" s="499"/>
      <c r="FP58" s="499"/>
      <c r="FQ58" s="499"/>
      <c r="FR58" s="499"/>
      <c r="FS58" s="499"/>
      <c r="FT58" s="499"/>
      <c r="FU58" s="499"/>
      <c r="FV58" s="499"/>
      <c r="FW58" s="499"/>
      <c r="FX58" s="499"/>
      <c r="FY58" s="499"/>
      <c r="FZ58" s="499"/>
      <c r="GA58" s="499"/>
      <c r="GB58" s="499"/>
      <c r="GC58" s="499"/>
      <c r="GD58" s="499"/>
      <c r="GE58" s="499"/>
      <c r="GF58" s="499"/>
      <c r="GG58" s="499"/>
      <c r="GH58" s="499"/>
      <c r="GI58" s="499"/>
      <c r="GJ58" s="499"/>
      <c r="GK58" s="499"/>
      <c r="GL58" s="499"/>
      <c r="GM58" s="499"/>
      <c r="GN58" s="499"/>
      <c r="GO58" s="499"/>
      <c r="GP58" s="499"/>
      <c r="GQ58" s="499"/>
      <c r="GR58" s="499"/>
      <c r="GS58" s="499"/>
      <c r="GT58" s="499"/>
      <c r="GU58" s="499"/>
      <c r="GV58" s="499"/>
      <c r="GW58" s="499"/>
      <c r="GX58" s="499"/>
      <c r="GY58" s="499"/>
      <c r="GZ58" s="499"/>
      <c r="HA58" s="499"/>
      <c r="HB58" s="499"/>
      <c r="HC58" s="499"/>
      <c r="HD58" s="499"/>
      <c r="HE58" s="499"/>
      <c r="HF58" s="499"/>
      <c r="HG58" s="499"/>
      <c r="HH58" s="499"/>
      <c r="HI58" s="499"/>
      <c r="HJ58" s="499"/>
      <c r="HK58" s="499"/>
      <c r="HL58" s="499"/>
      <c r="HM58" s="499"/>
      <c r="HN58" s="499"/>
      <c r="HO58" s="499"/>
      <c r="HP58" s="499"/>
      <c r="HQ58" s="499"/>
      <c r="HR58" s="499"/>
      <c r="HS58" s="499"/>
      <c r="HT58" s="499"/>
      <c r="HU58" s="499"/>
      <c r="HV58" s="499"/>
      <c r="HW58" s="499"/>
      <c r="HX58" s="499"/>
      <c r="HY58" s="499"/>
      <c r="HZ58" s="499"/>
      <c r="IA58" s="499"/>
      <c r="IB58" s="499"/>
      <c r="IC58" s="499"/>
      <c r="ID58" s="499"/>
      <c r="IE58" s="499"/>
      <c r="IF58" s="499"/>
      <c r="IG58" s="499"/>
      <c r="IH58" s="499"/>
      <c r="II58" s="499"/>
      <c r="IJ58" s="499"/>
      <c r="IK58" s="499"/>
      <c r="IL58" s="499"/>
      <c r="IM58" s="499"/>
      <c r="IN58" s="499"/>
      <c r="IO58" s="499"/>
      <c r="IP58" s="499"/>
      <c r="IQ58" s="499"/>
      <c r="IR58" s="499"/>
      <c r="IS58" s="499"/>
      <c r="IT58" s="499"/>
      <c r="IU58" s="499"/>
      <c r="IV58" s="499"/>
      <c r="IW58" s="499"/>
      <c r="IX58" s="499"/>
      <c r="IY58" s="499"/>
      <c r="IZ58" s="499"/>
      <c r="JA58" s="499"/>
      <c r="JB58" s="499"/>
      <c r="JC58" s="499"/>
      <c r="JD58" s="499"/>
      <c r="JE58" s="499"/>
      <c r="JF58" s="499"/>
      <c r="JG58" s="499"/>
      <c r="JH58" s="499"/>
      <c r="JI58" s="499"/>
      <c r="JJ58" s="499"/>
      <c r="JK58" s="499"/>
      <c r="JL58" s="499"/>
      <c r="JM58" s="499"/>
      <c r="JN58" s="499"/>
      <c r="JO58" s="499"/>
      <c r="JP58" s="499"/>
      <c r="JQ58" s="499"/>
      <c r="JR58" s="499"/>
      <c r="JS58" s="499"/>
      <c r="JT58" s="499"/>
      <c r="JU58" s="499"/>
      <c r="JV58" s="499"/>
      <c r="JW58" s="499"/>
      <c r="JX58" s="499"/>
      <c r="JY58" s="499"/>
      <c r="JZ58" s="499"/>
      <c r="KA58" s="499"/>
      <c r="KB58" s="499"/>
      <c r="KC58" s="499"/>
      <c r="KD58" s="499"/>
      <c r="KE58" s="499"/>
      <c r="KF58" s="499"/>
      <c r="KG58" s="499"/>
      <c r="KH58" s="499"/>
      <c r="KI58" s="499"/>
      <c r="KJ58" s="499"/>
      <c r="KK58" s="499"/>
      <c r="KL58" s="499"/>
      <c r="KM58" s="499"/>
      <c r="KN58" s="499"/>
      <c r="KO58" s="499"/>
      <c r="KP58" s="499"/>
      <c r="KQ58" s="499"/>
      <c r="KR58" s="499"/>
      <c r="KS58" s="499"/>
      <c r="KT58" s="499"/>
      <c r="KU58" s="499"/>
      <c r="KV58" s="499"/>
      <c r="KW58" s="499"/>
      <c r="KX58" s="499"/>
      <c r="KY58" s="499"/>
      <c r="KZ58" s="499"/>
      <c r="LA58" s="499"/>
      <c r="LB58" s="499"/>
      <c r="LC58" s="499"/>
      <c r="LD58" s="499"/>
      <c r="LE58" s="499"/>
      <c r="LF58" s="499"/>
      <c r="LG58" s="499"/>
      <c r="LH58" s="499"/>
      <c r="LI58" s="499"/>
      <c r="LJ58" s="499"/>
      <c r="LK58" s="499"/>
      <c r="LL58" s="499"/>
      <c r="LM58" s="499"/>
      <c r="LN58" s="499"/>
      <c r="LO58" s="499"/>
      <c r="LP58" s="499"/>
      <c r="LQ58" s="499"/>
      <c r="LR58" s="499"/>
      <c r="LS58" s="499"/>
      <c r="LT58" s="499"/>
      <c r="LU58" s="499"/>
      <c r="LV58" s="499"/>
      <c r="LW58" s="499"/>
      <c r="LX58" s="499"/>
      <c r="LY58" s="499"/>
      <c r="LZ58" s="499"/>
      <c r="MA58" s="499"/>
      <c r="MB58" s="499"/>
      <c r="MC58" s="499"/>
      <c r="MD58" s="499"/>
      <c r="ME58" s="499"/>
      <c r="MF58" s="499"/>
      <c r="MG58" s="499"/>
      <c r="MH58" s="499"/>
      <c r="MI58" s="499"/>
      <c r="MJ58" s="499"/>
      <c r="MK58" s="499"/>
      <c r="ML58" s="499"/>
      <c r="MM58" s="499"/>
      <c r="MN58" s="499"/>
      <c r="MO58" s="499"/>
      <c r="MP58" s="499"/>
      <c r="MQ58" s="499"/>
      <c r="MR58" s="499"/>
      <c r="MS58" s="499"/>
      <c r="MT58" s="499"/>
      <c r="MU58" s="499"/>
      <c r="MV58" s="499"/>
      <c r="MW58" s="499"/>
      <c r="MX58" s="499"/>
      <c r="MY58" s="499"/>
      <c r="MZ58" s="499"/>
      <c r="NA58" s="499"/>
      <c r="NB58" s="499"/>
      <c r="NC58" s="499"/>
      <c r="ND58" s="499"/>
      <c r="NE58" s="499"/>
      <c r="NF58" s="499"/>
      <c r="NG58" s="499"/>
      <c r="NH58" s="499"/>
      <c r="NI58" s="499"/>
      <c r="NJ58" s="499"/>
      <c r="NK58" s="499"/>
      <c r="NL58" s="499"/>
      <c r="NM58" s="499"/>
      <c r="NN58" s="499"/>
      <c r="NO58" s="499"/>
      <c r="NP58" s="499"/>
      <c r="NQ58" s="499"/>
      <c r="NR58" s="499"/>
      <c r="NS58" s="499"/>
      <c r="NT58" s="499"/>
      <c r="NU58" s="499"/>
      <c r="NV58" s="499"/>
      <c r="NW58" s="499"/>
      <c r="NX58" s="499"/>
      <c r="NY58" s="499"/>
      <c r="NZ58" s="499"/>
      <c r="OA58" s="499"/>
      <c r="OB58" s="499"/>
      <c r="OC58" s="499"/>
      <c r="OD58" s="499"/>
      <c r="OE58" s="499"/>
      <c r="OF58" s="499"/>
      <c r="OG58" s="499"/>
      <c r="OH58" s="499"/>
      <c r="OI58" s="499"/>
      <c r="OJ58" s="499"/>
      <c r="OK58" s="499"/>
      <c r="OL58" s="499"/>
      <c r="OM58" s="499"/>
      <c r="ON58" s="499"/>
      <c r="OO58" s="499"/>
      <c r="OP58" s="499"/>
      <c r="OQ58" s="499"/>
      <c r="OR58" s="499"/>
      <c r="OS58" s="499"/>
      <c r="OT58" s="499"/>
      <c r="OU58" s="499"/>
      <c r="OV58" s="499"/>
      <c r="OW58" s="499"/>
      <c r="OX58" s="499"/>
      <c r="OY58" s="499"/>
      <c r="OZ58" s="499"/>
      <c r="PA58" s="499"/>
      <c r="PB58" s="499"/>
      <c r="PC58" s="499"/>
      <c r="PD58" s="499"/>
      <c r="PE58" s="499"/>
      <c r="PF58" s="499"/>
      <c r="PG58" s="499"/>
      <c r="PH58" s="499"/>
      <c r="PI58" s="499"/>
      <c r="PJ58" s="499"/>
      <c r="PK58" s="499"/>
      <c r="PL58" s="499"/>
      <c r="PM58" s="499"/>
      <c r="PN58" s="499"/>
      <c r="PO58" s="499"/>
      <c r="PP58" s="499"/>
      <c r="PQ58" s="499"/>
      <c r="PR58" s="499"/>
      <c r="PS58" s="499"/>
      <c r="PT58" s="499"/>
      <c r="PU58" s="499"/>
      <c r="PV58" s="499"/>
      <c r="PW58" s="499"/>
      <c r="PX58" s="499"/>
      <c r="PY58" s="499"/>
      <c r="PZ58" s="499"/>
      <c r="QA58" s="499"/>
      <c r="QB58" s="499"/>
      <c r="QC58" s="499"/>
      <c r="QD58" s="499"/>
      <c r="QE58" s="499"/>
      <c r="QF58" s="499"/>
      <c r="QG58" s="499"/>
      <c r="QH58" s="499"/>
      <c r="QI58" s="499"/>
      <c r="QJ58" s="499"/>
      <c r="QK58" s="499"/>
      <c r="QL58" s="499"/>
      <c r="QM58" s="499"/>
      <c r="QN58" s="499"/>
      <c r="QO58" s="499"/>
      <c r="QP58" s="499"/>
      <c r="QQ58" s="499"/>
      <c r="QR58" s="499"/>
      <c r="QS58" s="499"/>
      <c r="QT58" s="499"/>
      <c r="QU58" s="499"/>
      <c r="QV58" s="499"/>
      <c r="QW58" s="499"/>
      <c r="QX58" s="499"/>
      <c r="QY58" s="499"/>
      <c r="QZ58" s="499"/>
      <c r="RA58" s="499"/>
      <c r="RB58" s="499"/>
      <c r="RC58" s="499"/>
      <c r="RD58" s="499"/>
      <c r="RE58" s="499"/>
      <c r="RF58" s="499"/>
      <c r="RG58" s="499"/>
      <c r="RH58" s="499"/>
      <c r="RI58" s="499"/>
      <c r="RJ58" s="499"/>
      <c r="RK58" s="499"/>
      <c r="RL58" s="499"/>
      <c r="RM58" s="499"/>
      <c r="RN58" s="499"/>
      <c r="RO58" s="499"/>
      <c r="RP58" s="499"/>
      <c r="RQ58" s="499"/>
      <c r="RR58" s="499"/>
      <c r="RS58" s="499"/>
      <c r="RT58" s="499"/>
      <c r="RU58" s="499"/>
      <c r="RV58" s="499"/>
      <c r="RW58" s="499"/>
      <c r="RX58" s="499"/>
      <c r="RY58" s="499"/>
      <c r="RZ58" s="499"/>
      <c r="SA58" s="499"/>
      <c r="SB58" s="499"/>
      <c r="SC58" s="499"/>
      <c r="SD58" s="499"/>
      <c r="SE58" s="499"/>
      <c r="SF58" s="499"/>
      <c r="SG58" s="499"/>
      <c r="SH58" s="499"/>
      <c r="SI58" s="499"/>
      <c r="SJ58" s="499"/>
      <c r="SK58" s="499"/>
      <c r="SL58" s="499"/>
      <c r="SM58" s="499"/>
      <c r="SN58" s="499"/>
      <c r="SO58" s="499"/>
      <c r="SP58" s="499"/>
      <c r="SQ58" s="499"/>
      <c r="SR58" s="499"/>
      <c r="SS58" s="499"/>
      <c r="ST58" s="499"/>
      <c r="SU58" s="499"/>
      <c r="SV58" s="499"/>
      <c r="SW58" s="499"/>
      <c r="SX58" s="499"/>
      <c r="SY58" s="499"/>
      <c r="SZ58" s="499"/>
      <c r="TA58" s="499"/>
      <c r="TB58" s="499"/>
      <c r="TC58" s="499"/>
      <c r="TD58" s="499"/>
      <c r="TE58" s="499"/>
      <c r="TF58" s="499"/>
      <c r="TG58" s="499"/>
      <c r="TH58" s="499"/>
      <c r="TI58" s="499"/>
      <c r="TJ58" s="499"/>
      <c r="TK58" s="499"/>
      <c r="TL58" s="499"/>
      <c r="TM58" s="499"/>
      <c r="TN58" s="499"/>
      <c r="TO58" s="499"/>
      <c r="TP58" s="499"/>
      <c r="TQ58" s="499"/>
      <c r="TR58" s="499"/>
      <c r="TS58" s="499"/>
      <c r="TT58" s="499"/>
      <c r="TU58" s="499"/>
      <c r="TV58" s="499"/>
      <c r="TW58" s="499"/>
      <c r="TX58" s="499"/>
      <c r="TY58" s="499"/>
      <c r="TZ58" s="499"/>
      <c r="UA58" s="499"/>
      <c r="UB58" s="499"/>
      <c r="UC58" s="499"/>
      <c r="UD58" s="499"/>
      <c r="UE58" s="499"/>
      <c r="UF58" s="499"/>
      <c r="UG58" s="499"/>
      <c r="UH58" s="499"/>
      <c r="UI58" s="499"/>
      <c r="UJ58" s="499"/>
      <c r="UK58" s="499"/>
      <c r="UL58" s="499"/>
      <c r="UM58" s="499"/>
      <c r="UN58" s="499"/>
      <c r="UO58" s="499"/>
      <c r="UP58" s="499"/>
      <c r="UQ58" s="499"/>
      <c r="UR58" s="499"/>
      <c r="US58" s="499"/>
      <c r="UT58" s="499"/>
      <c r="UU58" s="499"/>
      <c r="UV58" s="499"/>
      <c r="UW58" s="499"/>
      <c r="UX58" s="499"/>
      <c r="UY58" s="499"/>
      <c r="UZ58" s="499"/>
      <c r="VA58" s="499"/>
      <c r="VB58" s="499"/>
      <c r="VC58" s="499"/>
      <c r="VD58" s="499"/>
      <c r="VE58" s="499"/>
      <c r="VF58" s="499"/>
      <c r="VG58" s="499"/>
      <c r="VH58" s="499"/>
      <c r="VI58" s="499"/>
      <c r="VJ58" s="499"/>
      <c r="VK58" s="499"/>
      <c r="VL58" s="499"/>
      <c r="VM58" s="499"/>
      <c r="VN58" s="499"/>
      <c r="VO58" s="499"/>
      <c r="VP58" s="499"/>
      <c r="VQ58" s="499"/>
      <c r="VR58" s="499"/>
      <c r="VS58" s="499"/>
      <c r="VT58" s="499"/>
      <c r="VU58" s="499"/>
      <c r="VV58" s="499"/>
      <c r="VW58" s="499"/>
      <c r="VX58" s="499"/>
      <c r="VY58" s="499"/>
      <c r="VZ58" s="499"/>
      <c r="WA58" s="499"/>
      <c r="WB58" s="499"/>
      <c r="WC58" s="499"/>
      <c r="WD58" s="499"/>
      <c r="WE58" s="499"/>
      <c r="WF58" s="499"/>
    </row>
    <row r="59" spans="1:604" s="498" customFormat="1" ht="45" hidden="1" customHeight="1" x14ac:dyDescent="0.2">
      <c r="A59" s="486"/>
      <c r="B59" s="486"/>
      <c r="C59" s="440" t="s">
        <v>654</v>
      </c>
      <c r="D59" s="450" t="s">
        <v>190</v>
      </c>
      <c r="E59" s="441" t="s">
        <v>501</v>
      </c>
      <c r="F59" s="442" t="s">
        <v>502</v>
      </c>
      <c r="G59" s="437">
        <f>'MC-DRE'!I70</f>
        <v>0</v>
      </c>
      <c r="H59" s="438" t="s">
        <v>0</v>
      </c>
      <c r="I59" s="479">
        <v>11.48</v>
      </c>
      <c r="J59" s="439">
        <f t="shared" si="1"/>
        <v>14.63</v>
      </c>
      <c r="K59" s="476">
        <f t="shared" si="2"/>
        <v>0</v>
      </c>
      <c r="L59" s="446"/>
      <c r="M59" s="446"/>
    </row>
    <row r="60" spans="1:604" s="498" customFormat="1" ht="63" hidden="1" x14ac:dyDescent="0.2">
      <c r="A60" s="486"/>
      <c r="B60" s="486"/>
      <c r="C60" s="440" t="s">
        <v>655</v>
      </c>
      <c r="D60" s="450" t="s">
        <v>192</v>
      </c>
      <c r="E60" s="435">
        <v>100980</v>
      </c>
      <c r="F60" s="442" t="s">
        <v>368</v>
      </c>
      <c r="G60" s="437">
        <f>'MC-DRE'!J70</f>
        <v>0</v>
      </c>
      <c r="H60" s="438" t="s">
        <v>0</v>
      </c>
      <c r="I60" s="480">
        <f>I50</f>
        <v>6.33</v>
      </c>
      <c r="J60" s="439">
        <f t="shared" ref="J60:J87" si="5">ROUND(I60*(1+$J$9),2)</f>
        <v>8.07</v>
      </c>
      <c r="K60" s="476">
        <f t="shared" ref="K60:K87" si="6">ROUND(J60*G60,2)</f>
        <v>0</v>
      </c>
      <c r="L60" s="446"/>
      <c r="M60" s="446"/>
    </row>
    <row r="61" spans="1:604" s="498" customFormat="1" ht="45" hidden="1" customHeight="1" x14ac:dyDescent="0.2">
      <c r="A61" s="486"/>
      <c r="B61" s="486"/>
      <c r="C61" s="440" t="s">
        <v>656</v>
      </c>
      <c r="D61" s="440" t="s">
        <v>192</v>
      </c>
      <c r="E61" s="441" t="s">
        <v>369</v>
      </c>
      <c r="F61" s="442" t="s">
        <v>370</v>
      </c>
      <c r="G61" s="437">
        <f>'MC-DRE'!K70</f>
        <v>0</v>
      </c>
      <c r="H61" s="438" t="s">
        <v>245</v>
      </c>
      <c r="I61" s="480">
        <f t="shared" ref="I61:I66" si="7">I51</f>
        <v>2.78</v>
      </c>
      <c r="J61" s="439">
        <f t="shared" si="5"/>
        <v>3.54</v>
      </c>
      <c r="K61" s="476">
        <f t="shared" si="6"/>
        <v>0</v>
      </c>
      <c r="L61" s="446"/>
      <c r="M61" s="446"/>
    </row>
    <row r="62" spans="1:604" s="498" customFormat="1" ht="45" hidden="1" customHeight="1" x14ac:dyDescent="0.2">
      <c r="A62" s="486"/>
      <c r="B62" s="486"/>
      <c r="C62" s="440" t="s">
        <v>657</v>
      </c>
      <c r="D62" s="450" t="s">
        <v>192</v>
      </c>
      <c r="E62" s="435">
        <v>101616</v>
      </c>
      <c r="F62" s="445" t="s">
        <v>240</v>
      </c>
      <c r="G62" s="437">
        <f>'MC-DRE'!L70</f>
        <v>0</v>
      </c>
      <c r="H62" s="438" t="s">
        <v>2</v>
      </c>
      <c r="I62" s="480">
        <f t="shared" si="7"/>
        <v>5.51</v>
      </c>
      <c r="J62" s="439">
        <f t="shared" si="5"/>
        <v>7.02</v>
      </c>
      <c r="K62" s="476">
        <f t="shared" si="6"/>
        <v>0</v>
      </c>
      <c r="L62" s="446"/>
      <c r="M62" s="446"/>
    </row>
    <row r="63" spans="1:604" s="498" customFormat="1" ht="45" hidden="1" customHeight="1" x14ac:dyDescent="0.2">
      <c r="A63" s="486"/>
      <c r="B63" s="486"/>
      <c r="C63" s="440" t="s">
        <v>658</v>
      </c>
      <c r="D63" s="450" t="s">
        <v>190</v>
      </c>
      <c r="E63" s="435">
        <v>260278</v>
      </c>
      <c r="F63" s="442" t="s">
        <v>365</v>
      </c>
      <c r="G63" s="437">
        <f>'MC-DRE'!M70</f>
        <v>0</v>
      </c>
      <c r="H63" s="437" t="s">
        <v>2</v>
      </c>
      <c r="I63" s="480">
        <f t="shared" si="7"/>
        <v>38.380000000000003</v>
      </c>
      <c r="J63" s="439">
        <f t="shared" si="5"/>
        <v>48.92</v>
      </c>
      <c r="K63" s="476">
        <f t="shared" si="6"/>
        <v>0</v>
      </c>
      <c r="L63" s="446"/>
      <c r="M63" s="446"/>
    </row>
    <row r="64" spans="1:604" s="498" customFormat="1" ht="45" hidden="1" customHeight="1" x14ac:dyDescent="0.2">
      <c r="A64" s="486"/>
      <c r="B64" s="486"/>
      <c r="C64" s="440" t="s">
        <v>659</v>
      </c>
      <c r="D64" s="450" t="s">
        <v>190</v>
      </c>
      <c r="E64" s="435">
        <v>30011</v>
      </c>
      <c r="F64" s="442" t="s">
        <v>500</v>
      </c>
      <c r="G64" s="437">
        <f>'MC-DRE'!O70</f>
        <v>0</v>
      </c>
      <c r="H64" s="438" t="s">
        <v>0</v>
      </c>
      <c r="I64" s="480">
        <f t="shared" si="7"/>
        <v>133.13999999999999</v>
      </c>
      <c r="J64" s="439">
        <f t="shared" si="5"/>
        <v>169.7</v>
      </c>
      <c r="K64" s="476">
        <f t="shared" si="6"/>
        <v>0</v>
      </c>
      <c r="L64" s="446"/>
      <c r="M64" s="446"/>
    </row>
    <row r="65" spans="1:13" s="498" customFormat="1" ht="63" hidden="1" x14ac:dyDescent="0.2">
      <c r="A65" s="486"/>
      <c r="B65" s="486"/>
      <c r="C65" s="440" t="s">
        <v>660</v>
      </c>
      <c r="D65" s="440" t="s">
        <v>192</v>
      </c>
      <c r="E65" s="441" t="s">
        <v>367</v>
      </c>
      <c r="F65" s="442" t="s">
        <v>621</v>
      </c>
      <c r="G65" s="437">
        <f>'MC-DRE'!P70</f>
        <v>0</v>
      </c>
      <c r="H65" s="438" t="s">
        <v>0</v>
      </c>
      <c r="I65" s="480">
        <f t="shared" si="7"/>
        <v>17.77</v>
      </c>
      <c r="J65" s="439">
        <f t="shared" si="5"/>
        <v>22.65</v>
      </c>
      <c r="K65" s="476">
        <f t="shared" si="6"/>
        <v>0</v>
      </c>
      <c r="L65" s="446"/>
      <c r="M65" s="446"/>
    </row>
    <row r="66" spans="1:13" s="498" customFormat="1" ht="45" hidden="1" customHeight="1" x14ac:dyDescent="0.2">
      <c r="A66" s="486"/>
      <c r="B66" s="486"/>
      <c r="C66" s="440" t="s">
        <v>661</v>
      </c>
      <c r="D66" s="450" t="s">
        <v>192</v>
      </c>
      <c r="E66" s="435">
        <v>101579</v>
      </c>
      <c r="F66" s="442" t="s">
        <v>620</v>
      </c>
      <c r="G66" s="437">
        <f>'MC-DRE'!Q70</f>
        <v>0</v>
      </c>
      <c r="H66" s="437" t="s">
        <v>2</v>
      </c>
      <c r="I66" s="480">
        <f t="shared" si="7"/>
        <v>35.28</v>
      </c>
      <c r="J66" s="439">
        <f t="shared" si="5"/>
        <v>44.97</v>
      </c>
      <c r="K66" s="476">
        <f t="shared" si="6"/>
        <v>0</v>
      </c>
      <c r="L66" s="446"/>
      <c r="M66" s="446"/>
    </row>
    <row r="67" spans="1:13" s="498" customFormat="1" ht="63" hidden="1" x14ac:dyDescent="0.2">
      <c r="A67" s="486"/>
      <c r="B67" s="486"/>
      <c r="C67" s="440" t="s">
        <v>662</v>
      </c>
      <c r="D67" s="440" t="s">
        <v>192</v>
      </c>
      <c r="E67" s="440">
        <v>92828</v>
      </c>
      <c r="F67" s="442" t="s">
        <v>445</v>
      </c>
      <c r="G67" s="437">
        <f>'MC-DRE'!R70</f>
        <v>0</v>
      </c>
      <c r="H67" s="438" t="s">
        <v>3</v>
      </c>
      <c r="I67" s="479">
        <v>154.13</v>
      </c>
      <c r="J67" s="439">
        <f t="shared" si="5"/>
        <v>196.45</v>
      </c>
      <c r="K67" s="476">
        <f t="shared" si="6"/>
        <v>0</v>
      </c>
      <c r="L67" s="446"/>
      <c r="M67" s="446"/>
    </row>
    <row r="68" spans="1:13" s="636" customFormat="1" ht="45" hidden="1" customHeight="1" x14ac:dyDescent="0.2">
      <c r="A68" s="634"/>
      <c r="B68" s="634"/>
      <c r="C68" s="633" t="s">
        <v>455</v>
      </c>
      <c r="D68" s="632" t="s">
        <v>192</v>
      </c>
      <c r="E68" s="447" t="s">
        <v>453</v>
      </c>
      <c r="F68" s="448" t="s">
        <v>484</v>
      </c>
      <c r="G68" s="637">
        <f>'MC-DRE'!E98</f>
        <v>0</v>
      </c>
      <c r="H68" s="633" t="s">
        <v>328</v>
      </c>
      <c r="I68" s="638">
        <v>940.41</v>
      </c>
      <c r="J68" s="488">
        <f t="shared" si="5"/>
        <v>1198.6500000000001</v>
      </c>
      <c r="K68" s="639">
        <f t="shared" si="6"/>
        <v>0</v>
      </c>
      <c r="L68" s="635"/>
      <c r="M68" s="635"/>
    </row>
    <row r="69" spans="1:13" s="498" customFormat="1" ht="45" hidden="1" customHeight="1" x14ac:dyDescent="0.2">
      <c r="A69" s="486"/>
      <c r="B69" s="486"/>
      <c r="C69" s="440" t="s">
        <v>456</v>
      </c>
      <c r="D69" s="450" t="s">
        <v>190</v>
      </c>
      <c r="E69" s="441" t="s">
        <v>501</v>
      </c>
      <c r="F69" s="442" t="s">
        <v>502</v>
      </c>
      <c r="G69" s="437">
        <f>'MC-DRE'!I98</f>
        <v>0</v>
      </c>
      <c r="H69" s="438" t="s">
        <v>0</v>
      </c>
      <c r="I69" s="479">
        <v>11.48</v>
      </c>
      <c r="J69" s="439">
        <f t="shared" si="5"/>
        <v>14.63</v>
      </c>
      <c r="K69" s="476">
        <f t="shared" si="6"/>
        <v>0</v>
      </c>
      <c r="L69" s="446"/>
      <c r="M69" s="446"/>
    </row>
    <row r="70" spans="1:13" s="498" customFormat="1" ht="63" hidden="1" x14ac:dyDescent="0.2">
      <c r="A70" s="486"/>
      <c r="B70" s="486"/>
      <c r="C70" s="440" t="s">
        <v>457</v>
      </c>
      <c r="D70" s="450" t="s">
        <v>192</v>
      </c>
      <c r="E70" s="435">
        <v>100980</v>
      </c>
      <c r="F70" s="442" t="s">
        <v>368</v>
      </c>
      <c r="G70" s="437">
        <f>'MC-DRE'!J98</f>
        <v>0</v>
      </c>
      <c r="H70" s="438" t="s">
        <v>0</v>
      </c>
      <c r="I70" s="480">
        <f>I60</f>
        <v>6.33</v>
      </c>
      <c r="J70" s="439">
        <f t="shared" si="5"/>
        <v>8.07</v>
      </c>
      <c r="K70" s="476">
        <f t="shared" si="6"/>
        <v>0</v>
      </c>
      <c r="L70" s="446"/>
      <c r="M70" s="446"/>
    </row>
    <row r="71" spans="1:13" s="498" customFormat="1" ht="45" hidden="1" customHeight="1" x14ac:dyDescent="0.2">
      <c r="A71" s="486"/>
      <c r="B71" s="486"/>
      <c r="C71" s="440" t="s">
        <v>458</v>
      </c>
      <c r="D71" s="440" t="s">
        <v>192</v>
      </c>
      <c r="E71" s="441" t="s">
        <v>369</v>
      </c>
      <c r="F71" s="442" t="s">
        <v>370</v>
      </c>
      <c r="G71" s="437">
        <f>'MC-DRE'!K98</f>
        <v>0</v>
      </c>
      <c r="H71" s="438" t="s">
        <v>245</v>
      </c>
      <c r="I71" s="480">
        <f t="shared" ref="I71:I76" si="8">I61</f>
        <v>2.78</v>
      </c>
      <c r="J71" s="439">
        <f>ROUND(I71*(1+$J$9),2)</f>
        <v>3.54</v>
      </c>
      <c r="K71" s="476">
        <f>ROUND(J71*G71,2)</f>
        <v>0</v>
      </c>
      <c r="L71" s="446"/>
      <c r="M71" s="446"/>
    </row>
    <row r="72" spans="1:13" s="498" customFormat="1" ht="45" hidden="1" customHeight="1" x14ac:dyDescent="0.2">
      <c r="A72" s="486"/>
      <c r="B72" s="486"/>
      <c r="C72" s="440" t="s">
        <v>459</v>
      </c>
      <c r="D72" s="450" t="s">
        <v>192</v>
      </c>
      <c r="E72" s="435">
        <v>101616</v>
      </c>
      <c r="F72" s="445" t="s">
        <v>240</v>
      </c>
      <c r="G72" s="437">
        <f>'MC-DRE'!L98</f>
        <v>0</v>
      </c>
      <c r="H72" s="438" t="s">
        <v>2</v>
      </c>
      <c r="I72" s="480">
        <f t="shared" si="8"/>
        <v>5.51</v>
      </c>
      <c r="J72" s="439">
        <f t="shared" si="5"/>
        <v>7.02</v>
      </c>
      <c r="K72" s="476">
        <f t="shared" si="6"/>
        <v>0</v>
      </c>
      <c r="L72" s="446"/>
      <c r="M72" s="446"/>
    </row>
    <row r="73" spans="1:13" s="498" customFormat="1" ht="45" hidden="1" customHeight="1" x14ac:dyDescent="0.2">
      <c r="A73" s="486"/>
      <c r="B73" s="486"/>
      <c r="C73" s="440" t="s">
        <v>460</v>
      </c>
      <c r="D73" s="450" t="s">
        <v>190</v>
      </c>
      <c r="E73" s="435">
        <v>260278</v>
      </c>
      <c r="F73" s="442" t="s">
        <v>365</v>
      </c>
      <c r="G73" s="437">
        <f>'MC-DRE'!M98</f>
        <v>0</v>
      </c>
      <c r="H73" s="437" t="s">
        <v>2</v>
      </c>
      <c r="I73" s="480">
        <f t="shared" si="8"/>
        <v>38.380000000000003</v>
      </c>
      <c r="J73" s="439">
        <f t="shared" si="5"/>
        <v>48.92</v>
      </c>
      <c r="K73" s="476">
        <f t="shared" si="6"/>
        <v>0</v>
      </c>
      <c r="L73" s="446"/>
      <c r="M73" s="446"/>
    </row>
    <row r="74" spans="1:13" s="498" customFormat="1" ht="45" hidden="1" customHeight="1" x14ac:dyDescent="0.2">
      <c r="A74" s="486"/>
      <c r="B74" s="486"/>
      <c r="C74" s="440" t="s">
        <v>461</v>
      </c>
      <c r="D74" s="450" t="s">
        <v>190</v>
      </c>
      <c r="E74" s="435">
        <v>30011</v>
      </c>
      <c r="F74" s="442" t="s">
        <v>500</v>
      </c>
      <c r="G74" s="437">
        <f>'MC-DRE'!O98</f>
        <v>0</v>
      </c>
      <c r="H74" s="438" t="s">
        <v>0</v>
      </c>
      <c r="I74" s="480">
        <f t="shared" si="8"/>
        <v>133.13999999999999</v>
      </c>
      <c r="J74" s="439">
        <f t="shared" si="5"/>
        <v>169.7</v>
      </c>
      <c r="K74" s="476">
        <f t="shared" si="6"/>
        <v>0</v>
      </c>
      <c r="L74" s="446"/>
      <c r="M74" s="446"/>
    </row>
    <row r="75" spans="1:13" s="498" customFormat="1" ht="63" hidden="1" x14ac:dyDescent="0.2">
      <c r="A75" s="486"/>
      <c r="B75" s="486"/>
      <c r="C75" s="440" t="s">
        <v>462</v>
      </c>
      <c r="D75" s="440" t="s">
        <v>192</v>
      </c>
      <c r="E75" s="441" t="s">
        <v>367</v>
      </c>
      <c r="F75" s="442" t="s">
        <v>621</v>
      </c>
      <c r="G75" s="437">
        <f>'MC-DRE'!P98</f>
        <v>0</v>
      </c>
      <c r="H75" s="438" t="s">
        <v>0</v>
      </c>
      <c r="I75" s="480">
        <f t="shared" si="8"/>
        <v>17.77</v>
      </c>
      <c r="J75" s="439">
        <f t="shared" si="5"/>
        <v>22.65</v>
      </c>
      <c r="K75" s="476">
        <f t="shared" si="6"/>
        <v>0</v>
      </c>
      <c r="L75" s="446"/>
      <c r="M75" s="446"/>
    </row>
    <row r="76" spans="1:13" s="498" customFormat="1" ht="45" hidden="1" customHeight="1" x14ac:dyDescent="0.2">
      <c r="A76" s="486"/>
      <c r="B76" s="486"/>
      <c r="C76" s="440" t="s">
        <v>505</v>
      </c>
      <c r="D76" s="450" t="s">
        <v>192</v>
      </c>
      <c r="E76" s="435">
        <v>101579</v>
      </c>
      <c r="F76" s="442" t="s">
        <v>620</v>
      </c>
      <c r="G76" s="437">
        <f>'MC-DRE'!Q98</f>
        <v>0</v>
      </c>
      <c r="H76" s="437" t="s">
        <v>2</v>
      </c>
      <c r="I76" s="480">
        <f t="shared" si="8"/>
        <v>35.28</v>
      </c>
      <c r="J76" s="439">
        <f t="shared" si="5"/>
        <v>44.97</v>
      </c>
      <c r="K76" s="476">
        <f t="shared" si="6"/>
        <v>0</v>
      </c>
      <c r="L76" s="446"/>
      <c r="M76" s="446"/>
    </row>
    <row r="77" spans="1:13" s="498" customFormat="1" ht="63" hidden="1" x14ac:dyDescent="0.2">
      <c r="A77" s="486"/>
      <c r="B77" s="486"/>
      <c r="C77" s="440" t="s">
        <v>506</v>
      </c>
      <c r="D77" s="440" t="s">
        <v>192</v>
      </c>
      <c r="E77" s="440">
        <v>92830</v>
      </c>
      <c r="F77" s="442" t="s">
        <v>439</v>
      </c>
      <c r="G77" s="437">
        <f>'MC-DRE'!R98</f>
        <v>0</v>
      </c>
      <c r="H77" s="438" t="s">
        <v>3</v>
      </c>
      <c r="I77" s="480">
        <v>191.19</v>
      </c>
      <c r="J77" s="439">
        <f t="shared" si="5"/>
        <v>243.69</v>
      </c>
      <c r="K77" s="476">
        <f t="shared" si="6"/>
        <v>0</v>
      </c>
      <c r="L77" s="446"/>
      <c r="M77" s="446"/>
    </row>
    <row r="78" spans="1:13" s="498" customFormat="1" ht="45" hidden="1" customHeight="1" x14ac:dyDescent="0.2">
      <c r="A78" s="486"/>
      <c r="B78" s="486"/>
      <c r="C78" s="489" t="s">
        <v>463</v>
      </c>
      <c r="D78" s="487" t="s">
        <v>192</v>
      </c>
      <c r="E78" s="447" t="s">
        <v>454</v>
      </c>
      <c r="F78" s="448" t="s">
        <v>485</v>
      </c>
      <c r="G78" s="437">
        <f>'MC-DRE'!E126</f>
        <v>0</v>
      </c>
      <c r="H78" s="440" t="s">
        <v>328</v>
      </c>
      <c r="I78" s="479">
        <v>1428.17</v>
      </c>
      <c r="J78" s="439">
        <f t="shared" si="5"/>
        <v>1820.35</v>
      </c>
      <c r="K78" s="476">
        <f t="shared" si="6"/>
        <v>0</v>
      </c>
      <c r="L78" s="446"/>
      <c r="M78" s="446"/>
    </row>
    <row r="79" spans="1:13" s="498" customFormat="1" ht="45" hidden="1" customHeight="1" x14ac:dyDescent="0.2">
      <c r="A79" s="486"/>
      <c r="B79" s="486"/>
      <c r="C79" s="440" t="s">
        <v>464</v>
      </c>
      <c r="D79" s="450" t="s">
        <v>190</v>
      </c>
      <c r="E79" s="441" t="s">
        <v>501</v>
      </c>
      <c r="F79" s="442" t="s">
        <v>502</v>
      </c>
      <c r="G79" s="437">
        <f>'MC-DRE'!I126</f>
        <v>0</v>
      </c>
      <c r="H79" s="438" t="s">
        <v>0</v>
      </c>
      <c r="I79" s="479">
        <f>I69</f>
        <v>11.48</v>
      </c>
      <c r="J79" s="439">
        <f t="shared" si="5"/>
        <v>14.63</v>
      </c>
      <c r="K79" s="476">
        <f t="shared" si="6"/>
        <v>0</v>
      </c>
      <c r="L79" s="446"/>
      <c r="M79" s="446"/>
    </row>
    <row r="80" spans="1:13" s="498" customFormat="1" ht="63" hidden="1" x14ac:dyDescent="0.2">
      <c r="A80" s="486"/>
      <c r="B80" s="486"/>
      <c r="C80" s="440" t="s">
        <v>465</v>
      </c>
      <c r="D80" s="450" t="s">
        <v>192</v>
      </c>
      <c r="E80" s="435">
        <v>100980</v>
      </c>
      <c r="F80" s="442" t="s">
        <v>368</v>
      </c>
      <c r="G80" s="437">
        <f>'MC-DRE'!J126</f>
        <v>0</v>
      </c>
      <c r="H80" s="438" t="s">
        <v>0</v>
      </c>
      <c r="I80" s="479">
        <f t="shared" ref="I80:I86" si="9">I70</f>
        <v>6.33</v>
      </c>
      <c r="J80" s="439">
        <f t="shared" si="5"/>
        <v>8.07</v>
      </c>
      <c r="K80" s="476">
        <f t="shared" si="6"/>
        <v>0</v>
      </c>
      <c r="L80" s="446"/>
      <c r="M80" s="446"/>
    </row>
    <row r="81" spans="1:13" s="498" customFormat="1" ht="45" hidden="1" customHeight="1" x14ac:dyDescent="0.2">
      <c r="A81" s="486"/>
      <c r="B81" s="486"/>
      <c r="C81" s="440" t="s">
        <v>466</v>
      </c>
      <c r="D81" s="440" t="s">
        <v>192</v>
      </c>
      <c r="E81" s="441" t="s">
        <v>369</v>
      </c>
      <c r="F81" s="442" t="s">
        <v>370</v>
      </c>
      <c r="G81" s="437">
        <f>'MC-DRE'!K126</f>
        <v>0</v>
      </c>
      <c r="H81" s="438" t="s">
        <v>245</v>
      </c>
      <c r="I81" s="479">
        <f t="shared" si="9"/>
        <v>2.78</v>
      </c>
      <c r="J81" s="439">
        <f t="shared" si="5"/>
        <v>3.54</v>
      </c>
      <c r="K81" s="476">
        <f t="shared" si="6"/>
        <v>0</v>
      </c>
      <c r="L81" s="446"/>
      <c r="M81" s="446"/>
    </row>
    <row r="82" spans="1:13" s="498" customFormat="1" ht="45" hidden="1" customHeight="1" x14ac:dyDescent="0.2">
      <c r="A82" s="486"/>
      <c r="B82" s="486"/>
      <c r="C82" s="440" t="s">
        <v>467</v>
      </c>
      <c r="D82" s="450" t="s">
        <v>192</v>
      </c>
      <c r="E82" s="435">
        <v>101616</v>
      </c>
      <c r="F82" s="445" t="s">
        <v>240</v>
      </c>
      <c r="G82" s="437">
        <f>'MC-DRE'!L126</f>
        <v>0</v>
      </c>
      <c r="H82" s="438" t="s">
        <v>2</v>
      </c>
      <c r="I82" s="479">
        <f t="shared" si="9"/>
        <v>5.51</v>
      </c>
      <c r="J82" s="439">
        <f t="shared" si="5"/>
        <v>7.02</v>
      </c>
      <c r="K82" s="476">
        <f t="shared" si="6"/>
        <v>0</v>
      </c>
      <c r="L82" s="446"/>
      <c r="M82" s="446"/>
    </row>
    <row r="83" spans="1:13" ht="45" hidden="1" customHeight="1" x14ac:dyDescent="0.2">
      <c r="A83" s="486"/>
      <c r="B83" s="486"/>
      <c r="C83" s="440" t="s">
        <v>468</v>
      </c>
      <c r="D83" s="450" t="s">
        <v>190</v>
      </c>
      <c r="E83" s="435">
        <v>260278</v>
      </c>
      <c r="F83" s="442" t="s">
        <v>365</v>
      </c>
      <c r="G83" s="437">
        <f>'MC-DRE'!M126</f>
        <v>0</v>
      </c>
      <c r="H83" s="437" t="s">
        <v>2</v>
      </c>
      <c r="I83" s="479">
        <f t="shared" si="9"/>
        <v>38.380000000000003</v>
      </c>
      <c r="J83" s="439">
        <f t="shared" si="5"/>
        <v>48.92</v>
      </c>
      <c r="K83" s="476">
        <f t="shared" si="6"/>
        <v>0</v>
      </c>
      <c r="L83" s="446"/>
      <c r="M83" s="446"/>
    </row>
    <row r="84" spans="1:13" ht="45" hidden="1" customHeight="1" x14ac:dyDescent="0.2">
      <c r="A84" s="486"/>
      <c r="B84" s="486"/>
      <c r="C84" s="440" t="s">
        <v>469</v>
      </c>
      <c r="D84" s="450" t="s">
        <v>190</v>
      </c>
      <c r="E84" s="435">
        <v>30011</v>
      </c>
      <c r="F84" s="442" t="s">
        <v>500</v>
      </c>
      <c r="G84" s="437">
        <f>'MC-DRE'!O126</f>
        <v>0</v>
      </c>
      <c r="H84" s="438" t="s">
        <v>0</v>
      </c>
      <c r="I84" s="479">
        <f t="shared" si="9"/>
        <v>133.13999999999999</v>
      </c>
      <c r="J84" s="439">
        <f t="shared" si="5"/>
        <v>169.7</v>
      </c>
      <c r="K84" s="476">
        <f t="shared" si="6"/>
        <v>0</v>
      </c>
      <c r="L84" s="446"/>
      <c r="M84" s="446"/>
    </row>
    <row r="85" spans="1:13" s="498" customFormat="1" ht="63" hidden="1" x14ac:dyDescent="0.2">
      <c r="A85" s="486"/>
      <c r="B85" s="486"/>
      <c r="C85" s="440" t="s">
        <v>470</v>
      </c>
      <c r="D85" s="440" t="s">
        <v>192</v>
      </c>
      <c r="E85" s="441" t="s">
        <v>367</v>
      </c>
      <c r="F85" s="442" t="s">
        <v>621</v>
      </c>
      <c r="G85" s="437">
        <f>'MC-DRE'!P126</f>
        <v>0</v>
      </c>
      <c r="H85" s="438" t="s">
        <v>0</v>
      </c>
      <c r="I85" s="479">
        <f t="shared" si="9"/>
        <v>17.77</v>
      </c>
      <c r="J85" s="439">
        <f t="shared" si="5"/>
        <v>22.65</v>
      </c>
      <c r="K85" s="476">
        <f t="shared" si="6"/>
        <v>0</v>
      </c>
      <c r="L85" s="446"/>
      <c r="M85" s="446"/>
    </row>
    <row r="86" spans="1:13" s="498" customFormat="1" ht="45" hidden="1" customHeight="1" x14ac:dyDescent="0.2">
      <c r="A86" s="486"/>
      <c r="B86" s="486"/>
      <c r="C86" s="440" t="s">
        <v>507</v>
      </c>
      <c r="D86" s="450" t="s">
        <v>192</v>
      </c>
      <c r="E86" s="435">
        <v>101579</v>
      </c>
      <c r="F86" s="442" t="s">
        <v>620</v>
      </c>
      <c r="G86" s="437">
        <f>'MC-DRE'!Q126</f>
        <v>0</v>
      </c>
      <c r="H86" s="437" t="s">
        <v>2</v>
      </c>
      <c r="I86" s="479">
        <f t="shared" si="9"/>
        <v>35.28</v>
      </c>
      <c r="J86" s="439">
        <f t="shared" si="5"/>
        <v>44.97</v>
      </c>
      <c r="K86" s="476">
        <f t="shared" si="6"/>
        <v>0</v>
      </c>
      <c r="L86" s="446"/>
      <c r="M86" s="446"/>
    </row>
    <row r="87" spans="1:13" s="498" customFormat="1" ht="63" hidden="1" x14ac:dyDescent="0.2">
      <c r="A87" s="486"/>
      <c r="B87" s="486"/>
      <c r="C87" s="440" t="s">
        <v>508</v>
      </c>
      <c r="D87" s="440" t="s">
        <v>192</v>
      </c>
      <c r="E87" s="440">
        <v>92832</v>
      </c>
      <c r="F87" s="442" t="s">
        <v>440</v>
      </c>
      <c r="G87" s="437">
        <f>'MC-DRE'!R126</f>
        <v>0</v>
      </c>
      <c r="H87" s="438" t="s">
        <v>3</v>
      </c>
      <c r="I87" s="479">
        <v>254.18</v>
      </c>
      <c r="J87" s="439">
        <f t="shared" si="5"/>
        <v>323.98</v>
      </c>
      <c r="K87" s="476">
        <f t="shared" si="6"/>
        <v>0</v>
      </c>
      <c r="L87" s="446"/>
      <c r="M87" s="446"/>
    </row>
    <row r="88" spans="1:13" s="498" customFormat="1" ht="45" customHeight="1" x14ac:dyDescent="0.2">
      <c r="A88" s="486"/>
      <c r="B88" s="486"/>
      <c r="C88" s="628" t="s">
        <v>667</v>
      </c>
      <c r="D88" s="627"/>
      <c r="E88" s="447"/>
      <c r="F88" s="448" t="s">
        <v>242</v>
      </c>
      <c r="G88" s="437"/>
      <c r="H88" s="438"/>
      <c r="I88" s="479"/>
      <c r="J88" s="439"/>
      <c r="K88" s="476"/>
      <c r="L88" s="446"/>
      <c r="M88" s="446"/>
    </row>
    <row r="89" spans="1:13" s="498" customFormat="1" ht="45" customHeight="1" x14ac:dyDescent="0.2">
      <c r="A89" s="486"/>
      <c r="B89" s="486"/>
      <c r="C89" s="440" t="s">
        <v>709</v>
      </c>
      <c r="D89" s="450" t="s">
        <v>192</v>
      </c>
      <c r="E89" s="441" t="s">
        <v>227</v>
      </c>
      <c r="F89" s="442" t="s">
        <v>228</v>
      </c>
      <c r="G89" s="437">
        <f>'MC-DRE'!C138</f>
        <v>7</v>
      </c>
      <c r="H89" s="440" t="s">
        <v>328</v>
      </c>
      <c r="I89" s="479">
        <v>1516.73</v>
      </c>
      <c r="J89" s="439">
        <f>ROUND(I89*(1+$J$9),2)</f>
        <v>1933.22</v>
      </c>
      <c r="K89" s="476">
        <f>ROUND(J89*G89,2)</f>
        <v>13532.54</v>
      </c>
      <c r="L89" s="446"/>
      <c r="M89" s="446"/>
    </row>
    <row r="90" spans="1:13" s="498" customFormat="1" ht="45" customHeight="1" x14ac:dyDescent="0.2">
      <c r="A90" s="486"/>
      <c r="B90" s="486"/>
      <c r="C90" s="628" t="s">
        <v>710</v>
      </c>
      <c r="D90" s="627"/>
      <c r="E90" s="447"/>
      <c r="F90" s="448" t="s">
        <v>471</v>
      </c>
      <c r="G90" s="437"/>
      <c r="H90" s="438"/>
      <c r="I90" s="479"/>
      <c r="J90" s="439"/>
      <c r="K90" s="476"/>
      <c r="L90" s="446"/>
      <c r="M90" s="446"/>
    </row>
    <row r="91" spans="1:13" s="498" customFormat="1" ht="45" customHeight="1" x14ac:dyDescent="0.2">
      <c r="A91" s="486"/>
      <c r="B91" s="486"/>
      <c r="C91" s="440" t="s">
        <v>711</v>
      </c>
      <c r="D91" s="450" t="s">
        <v>472</v>
      </c>
      <c r="E91" s="441" t="s">
        <v>639</v>
      </c>
      <c r="F91" s="442" t="s">
        <v>473</v>
      </c>
      <c r="G91" s="437">
        <f>'MC-DRE'!C150</f>
        <v>7</v>
      </c>
      <c r="H91" s="440" t="s">
        <v>328</v>
      </c>
      <c r="I91" s="479">
        <v>187.35</v>
      </c>
      <c r="J91" s="439">
        <f>ROUND(I91*(1+$J$9),2)</f>
        <v>238.8</v>
      </c>
      <c r="K91" s="476">
        <f>ROUND(J91*G91,2)</f>
        <v>1671.6</v>
      </c>
      <c r="L91" s="446" t="s">
        <v>503</v>
      </c>
      <c r="M91" s="446"/>
    </row>
    <row r="92" spans="1:13" s="498" customFormat="1" ht="45" customHeight="1" x14ac:dyDescent="0.2">
      <c r="A92" s="486"/>
      <c r="B92" s="486"/>
      <c r="C92" s="628" t="s">
        <v>712</v>
      </c>
      <c r="D92" s="627"/>
      <c r="E92" s="447"/>
      <c r="F92" s="448" t="s">
        <v>243</v>
      </c>
      <c r="G92" s="437"/>
      <c r="H92" s="438"/>
      <c r="I92" s="479"/>
      <c r="J92" s="439"/>
      <c r="K92" s="476"/>
      <c r="L92" s="446"/>
      <c r="M92" s="446"/>
    </row>
    <row r="93" spans="1:13" s="498" customFormat="1" ht="45" customHeight="1" x14ac:dyDescent="0.2">
      <c r="A93" s="486"/>
      <c r="B93" s="486"/>
      <c r="C93" s="440" t="s">
        <v>713</v>
      </c>
      <c r="D93" s="450" t="s">
        <v>190</v>
      </c>
      <c r="E93" s="441" t="s">
        <v>229</v>
      </c>
      <c r="F93" s="442" t="s">
        <v>230</v>
      </c>
      <c r="G93" s="437">
        <f>'MC-DRE'!C162</f>
        <v>3</v>
      </c>
      <c r="H93" s="440" t="s">
        <v>328</v>
      </c>
      <c r="I93" s="479">
        <v>5290.82</v>
      </c>
      <c r="J93" s="439">
        <f>ROUND(I93*(1+$J$9),2)</f>
        <v>6743.68</v>
      </c>
      <c r="K93" s="476">
        <f>ROUND(J93*G93,2)</f>
        <v>20231.04</v>
      </c>
      <c r="L93" s="446"/>
      <c r="M93" s="446"/>
    </row>
    <row r="94" spans="1:13" s="498" customFormat="1" ht="45" customHeight="1" x14ac:dyDescent="0.2">
      <c r="A94" s="486"/>
      <c r="B94" s="486"/>
      <c r="C94" s="628" t="s">
        <v>714</v>
      </c>
      <c r="D94" s="627"/>
      <c r="E94" s="447"/>
      <c r="F94" s="448" t="s">
        <v>474</v>
      </c>
      <c r="G94" s="437"/>
      <c r="H94" s="438"/>
      <c r="I94" s="479"/>
      <c r="J94" s="439"/>
      <c r="K94" s="476"/>
      <c r="L94" s="446"/>
      <c r="M94" s="446"/>
    </row>
    <row r="95" spans="1:13" s="498" customFormat="1" ht="45" customHeight="1" x14ac:dyDescent="0.2">
      <c r="A95" s="486"/>
      <c r="B95" s="486"/>
      <c r="C95" s="440" t="s">
        <v>715</v>
      </c>
      <c r="D95" s="450" t="s">
        <v>192</v>
      </c>
      <c r="E95" s="441" t="s">
        <v>475</v>
      </c>
      <c r="F95" s="442" t="s">
        <v>476</v>
      </c>
      <c r="G95" s="437">
        <f>'MC-DRE'!C174</f>
        <v>3</v>
      </c>
      <c r="H95" s="440" t="s">
        <v>328</v>
      </c>
      <c r="I95" s="479">
        <v>99.48</v>
      </c>
      <c r="J95" s="439">
        <f>ROUND(I95*(1+$J$9),2)</f>
        <v>126.8</v>
      </c>
      <c r="K95" s="476">
        <f>ROUND(J95*G95,2)</f>
        <v>380.4</v>
      </c>
      <c r="L95" s="446"/>
      <c r="M95" s="446"/>
    </row>
    <row r="96" spans="1:13" s="498" customFormat="1" ht="45" customHeight="1" x14ac:dyDescent="0.2">
      <c r="A96" s="486"/>
      <c r="B96" s="486"/>
      <c r="C96" s="628" t="s">
        <v>676</v>
      </c>
      <c r="D96" s="627"/>
      <c r="E96" s="447"/>
      <c r="F96" s="448" t="s">
        <v>527</v>
      </c>
      <c r="G96" s="437"/>
      <c r="H96" s="438"/>
      <c r="I96" s="479"/>
      <c r="J96" s="439"/>
      <c r="K96" s="476"/>
      <c r="L96" s="446"/>
      <c r="M96" s="446"/>
    </row>
    <row r="97" spans="1:15" s="498" customFormat="1" ht="45" hidden="1" customHeight="1" x14ac:dyDescent="0.2">
      <c r="A97" s="486"/>
      <c r="B97" s="486"/>
      <c r="C97" s="440" t="s">
        <v>677</v>
      </c>
      <c r="D97" s="450" t="s">
        <v>190</v>
      </c>
      <c r="E97" s="441" t="s">
        <v>229</v>
      </c>
      <c r="F97" s="442" t="s">
        <v>528</v>
      </c>
      <c r="G97" s="437">
        <f>'MC-DRE'!C186</f>
        <v>0</v>
      </c>
      <c r="H97" s="440" t="s">
        <v>328</v>
      </c>
      <c r="I97" s="479">
        <v>5290.82</v>
      </c>
      <c r="J97" s="439">
        <f>ROUND(I97*(1+$J$9),2)</f>
        <v>6743.68</v>
      </c>
      <c r="K97" s="476">
        <f>ROUND(J97*G97,2)</f>
        <v>0</v>
      </c>
      <c r="L97" s="446"/>
      <c r="M97" s="446"/>
    </row>
    <row r="98" spans="1:15" ht="27.95" customHeight="1" x14ac:dyDescent="0.2">
      <c r="A98" s="486"/>
      <c r="B98" s="486"/>
      <c r="C98" s="689" t="s">
        <v>668</v>
      </c>
      <c r="D98" s="689"/>
      <c r="E98" s="689"/>
      <c r="F98" s="689"/>
      <c r="G98" s="689"/>
      <c r="H98" s="689"/>
      <c r="I98" s="689"/>
      <c r="J98" s="689"/>
      <c r="K98" s="488">
        <f>SUM(K28:K97)</f>
        <v>258005.68</v>
      </c>
      <c r="L98" s="481"/>
      <c r="M98" s="446"/>
    </row>
    <row r="99" spans="1:15" ht="27.95" hidden="1" customHeight="1" x14ac:dyDescent="0.2">
      <c r="A99" s="486"/>
      <c r="B99" s="486"/>
      <c r="C99" s="628">
        <v>4</v>
      </c>
      <c r="D99" s="628"/>
      <c r="E99" s="628"/>
      <c r="F99" s="628" t="s">
        <v>16</v>
      </c>
      <c r="G99" s="690"/>
      <c r="H99" s="690"/>
      <c r="I99" s="690"/>
      <c r="J99" s="690"/>
      <c r="K99" s="690"/>
      <c r="L99" s="446"/>
      <c r="M99" s="446"/>
    </row>
    <row r="100" spans="1:15" s="498" customFormat="1" ht="45" hidden="1" customHeight="1" x14ac:dyDescent="0.2">
      <c r="A100" s="486"/>
      <c r="B100" s="486"/>
      <c r="C100" s="440" t="s">
        <v>33</v>
      </c>
      <c r="D100" s="450" t="s">
        <v>190</v>
      </c>
      <c r="E100" s="450">
        <v>10008</v>
      </c>
      <c r="F100" s="442" t="s">
        <v>504</v>
      </c>
      <c r="G100" s="443">
        <f>'MC-TER'!E31</f>
        <v>0</v>
      </c>
      <c r="H100" s="437" t="s">
        <v>2</v>
      </c>
      <c r="I100" s="629">
        <v>4.49</v>
      </c>
      <c r="J100" s="439">
        <f>ROUND(I100*(1+$J$9),2)</f>
        <v>5.72</v>
      </c>
      <c r="K100" s="476">
        <f>ROUND(J100*G100,2)</f>
        <v>0</v>
      </c>
      <c r="L100" s="446"/>
      <c r="M100" s="446"/>
    </row>
    <row r="101" spans="1:15" s="498" customFormat="1" ht="45" hidden="1" customHeight="1" x14ac:dyDescent="0.2">
      <c r="A101" s="486"/>
      <c r="B101" s="486"/>
      <c r="C101" s="440" t="s">
        <v>642</v>
      </c>
      <c r="D101" s="450" t="s">
        <v>192</v>
      </c>
      <c r="E101" s="450">
        <v>101116</v>
      </c>
      <c r="F101" s="442" t="s">
        <v>515</v>
      </c>
      <c r="G101" s="443">
        <f>'MC-TER'!G31</f>
        <v>0</v>
      </c>
      <c r="H101" s="437" t="s">
        <v>0</v>
      </c>
      <c r="I101" s="629">
        <v>2.09</v>
      </c>
      <c r="J101" s="439">
        <f>ROUND(I101*(1+$J$9),2)</f>
        <v>2.66</v>
      </c>
      <c r="K101" s="476">
        <f>ROUND(J101*G101,2)</f>
        <v>0</v>
      </c>
      <c r="L101" s="481"/>
      <c r="M101" s="446"/>
    </row>
    <row r="102" spans="1:15" s="498" customFormat="1" ht="63" hidden="1" x14ac:dyDescent="0.2">
      <c r="A102" s="486"/>
      <c r="B102" s="486"/>
      <c r="C102" s="440" t="s">
        <v>643</v>
      </c>
      <c r="D102" s="450" t="s">
        <v>192</v>
      </c>
      <c r="E102" s="435">
        <v>100980</v>
      </c>
      <c r="F102" s="442" t="s">
        <v>368</v>
      </c>
      <c r="G102" s="437">
        <f>'MC-TER'!H31</f>
        <v>0</v>
      </c>
      <c r="H102" s="438" t="s">
        <v>0</v>
      </c>
      <c r="I102" s="480">
        <v>6.16</v>
      </c>
      <c r="J102" s="439">
        <f>ROUND(I102*(1+$J$9),2)</f>
        <v>7.85</v>
      </c>
      <c r="K102" s="476">
        <f>ROUND(J102*G102,2)</f>
        <v>0</v>
      </c>
      <c r="L102" s="446"/>
      <c r="M102" s="446"/>
    </row>
    <row r="103" spans="1:15" s="498" customFormat="1" ht="45" hidden="1" customHeight="1" x14ac:dyDescent="0.2">
      <c r="A103" s="486"/>
      <c r="B103" s="486"/>
      <c r="C103" s="440" t="s">
        <v>653</v>
      </c>
      <c r="D103" s="440" t="s">
        <v>192</v>
      </c>
      <c r="E103" s="441" t="s">
        <v>369</v>
      </c>
      <c r="F103" s="442" t="s">
        <v>370</v>
      </c>
      <c r="G103" s="437">
        <f>'MC-TER'!I31</f>
        <v>0</v>
      </c>
      <c r="H103" s="438" t="s">
        <v>245</v>
      </c>
      <c r="I103" s="479">
        <v>2.68</v>
      </c>
      <c r="J103" s="439">
        <f>ROUND(I103*(1+$J$9),2)</f>
        <v>3.42</v>
      </c>
      <c r="K103" s="476">
        <f>ROUND(J103*G103,2)</f>
        <v>0</v>
      </c>
      <c r="L103" s="481"/>
      <c r="M103" s="446"/>
    </row>
    <row r="104" spans="1:15" ht="27.95" hidden="1" customHeight="1" x14ac:dyDescent="0.2">
      <c r="A104" s="486"/>
      <c r="B104" s="486"/>
      <c r="C104" s="689" t="s">
        <v>664</v>
      </c>
      <c r="D104" s="689"/>
      <c r="E104" s="689"/>
      <c r="F104" s="689"/>
      <c r="G104" s="689"/>
      <c r="H104" s="689"/>
      <c r="I104" s="689"/>
      <c r="J104" s="689"/>
      <c r="K104" s="488">
        <f>SUM(K100:K103)</f>
        <v>0</v>
      </c>
      <c r="L104" s="446"/>
      <c r="M104" s="446"/>
    </row>
    <row r="105" spans="1:15" ht="27.95" hidden="1" customHeight="1" x14ac:dyDescent="0.2">
      <c r="A105" s="486"/>
      <c r="B105" s="486"/>
      <c r="C105" s="628">
        <v>5</v>
      </c>
      <c r="D105" s="628"/>
      <c r="E105" s="628"/>
      <c r="F105" s="628" t="s">
        <v>32</v>
      </c>
      <c r="G105" s="690"/>
      <c r="H105" s="690"/>
      <c r="I105" s="690"/>
      <c r="J105" s="690"/>
      <c r="K105" s="690"/>
      <c r="L105" s="481"/>
      <c r="M105" s="446"/>
    </row>
    <row r="106" spans="1:15" ht="63" hidden="1" x14ac:dyDescent="0.2">
      <c r="A106" s="486"/>
      <c r="B106" s="486"/>
      <c r="C106" s="440" t="s">
        <v>14</v>
      </c>
      <c r="D106" s="450" t="s">
        <v>191</v>
      </c>
      <c r="E106" s="450" t="s">
        <v>216</v>
      </c>
      <c r="F106" s="442" t="s">
        <v>244</v>
      </c>
      <c r="G106" s="443">
        <f>'MC-TER'!K31</f>
        <v>0</v>
      </c>
      <c r="H106" s="437" t="s">
        <v>0</v>
      </c>
      <c r="I106" s="630">
        <f>'CPU-III'!G29</f>
        <v>208.38</v>
      </c>
      <c r="J106" s="439">
        <f>ROUND(I106*(1+$J$9),2)</f>
        <v>265.60000000000002</v>
      </c>
      <c r="K106" s="476">
        <f t="shared" ref="K106:K113" si="10">ROUND(J106*G106,2)</f>
        <v>0</v>
      </c>
      <c r="L106" s="446"/>
      <c r="M106" s="446"/>
    </row>
    <row r="107" spans="1:15" s="498" customFormat="1" ht="63" hidden="1" x14ac:dyDescent="0.2">
      <c r="A107" s="486"/>
      <c r="B107" s="486"/>
      <c r="C107" s="440" t="s">
        <v>152</v>
      </c>
      <c r="D107" s="450" t="s">
        <v>192</v>
      </c>
      <c r="E107" s="435">
        <v>100980</v>
      </c>
      <c r="F107" s="442" t="s">
        <v>368</v>
      </c>
      <c r="G107" s="437">
        <f>'MC-TER'!L31</f>
        <v>0</v>
      </c>
      <c r="H107" s="438" t="s">
        <v>0</v>
      </c>
      <c r="I107" s="631">
        <v>6.16</v>
      </c>
      <c r="J107" s="439">
        <f>ROUND(I107*(1+$J$9),2)</f>
        <v>7.85</v>
      </c>
      <c r="K107" s="476">
        <f t="shared" si="10"/>
        <v>0</v>
      </c>
      <c r="L107" s="446"/>
      <c r="M107" s="446"/>
    </row>
    <row r="108" spans="1:15" s="498" customFormat="1" ht="45" hidden="1" customHeight="1" x14ac:dyDescent="0.2">
      <c r="A108" s="486"/>
      <c r="B108" s="486"/>
      <c r="C108" s="440" t="s">
        <v>153</v>
      </c>
      <c r="D108" s="450" t="s">
        <v>192</v>
      </c>
      <c r="E108" s="450">
        <v>100574</v>
      </c>
      <c r="F108" s="442" t="s">
        <v>211</v>
      </c>
      <c r="G108" s="443">
        <f>'MC-TER'!M31</f>
        <v>0</v>
      </c>
      <c r="H108" s="437" t="s">
        <v>0</v>
      </c>
      <c r="I108" s="630">
        <v>1.35</v>
      </c>
      <c r="J108" s="439">
        <f>ROUND(I108*(1+$J$9),2)</f>
        <v>1.72</v>
      </c>
      <c r="K108" s="476">
        <f t="shared" si="10"/>
        <v>0</v>
      </c>
      <c r="L108" s="446"/>
      <c r="M108" s="446"/>
    </row>
    <row r="109" spans="1:15" s="498" customFormat="1" ht="45" hidden="1" customHeight="1" x14ac:dyDescent="0.2">
      <c r="A109" s="486"/>
      <c r="B109" s="486"/>
      <c r="C109" s="440" t="s">
        <v>486</v>
      </c>
      <c r="D109" s="450" t="s">
        <v>192</v>
      </c>
      <c r="E109" s="450">
        <v>95877</v>
      </c>
      <c r="F109" s="442" t="s">
        <v>565</v>
      </c>
      <c r="G109" s="443">
        <f>'MC-TER'!N31</f>
        <v>0</v>
      </c>
      <c r="H109" s="437" t="s">
        <v>566</v>
      </c>
      <c r="I109" s="630">
        <v>1.83</v>
      </c>
      <c r="J109" s="439">
        <v>2.29</v>
      </c>
      <c r="K109" s="476">
        <f t="shared" si="10"/>
        <v>0</v>
      </c>
      <c r="L109" s="446"/>
      <c r="M109" s="446"/>
      <c r="N109" s="692"/>
      <c r="O109" s="692"/>
    </row>
    <row r="110" spans="1:15" ht="81" hidden="1" customHeight="1" x14ac:dyDescent="0.2">
      <c r="A110" s="486"/>
      <c r="B110" s="486"/>
      <c r="C110" s="440" t="s">
        <v>678</v>
      </c>
      <c r="D110" s="450" t="s">
        <v>191</v>
      </c>
      <c r="E110" s="450" t="s">
        <v>303</v>
      </c>
      <c r="F110" s="442" t="s">
        <v>638</v>
      </c>
      <c r="G110" s="443">
        <f>'MC-TER'!P31</f>
        <v>0</v>
      </c>
      <c r="H110" s="437" t="s">
        <v>492</v>
      </c>
      <c r="I110" s="630">
        <f>'CPU-IV'!G28</f>
        <v>82.25</v>
      </c>
      <c r="J110" s="439">
        <f>ROUND(I110*(1+$J$9),2)</f>
        <v>104.84</v>
      </c>
      <c r="K110" s="476">
        <f t="shared" si="10"/>
        <v>0</v>
      </c>
      <c r="L110" s="446"/>
      <c r="M110" s="446"/>
    </row>
    <row r="111" spans="1:15" s="498" customFormat="1" ht="63" hidden="1" x14ac:dyDescent="0.2">
      <c r="A111" s="486"/>
      <c r="B111" s="486"/>
      <c r="C111" s="440" t="s">
        <v>679</v>
      </c>
      <c r="D111" s="450" t="s">
        <v>192</v>
      </c>
      <c r="E111" s="435">
        <v>100980</v>
      </c>
      <c r="F111" s="442" t="s">
        <v>368</v>
      </c>
      <c r="G111" s="437">
        <f>'MC-TER'!Q31</f>
        <v>0</v>
      </c>
      <c r="H111" s="438" t="s">
        <v>0</v>
      </c>
      <c r="I111" s="631">
        <v>6.16</v>
      </c>
      <c r="J111" s="439">
        <f>ROUND(I111*(1+$J$9),2)</f>
        <v>7.85</v>
      </c>
      <c r="K111" s="476">
        <f t="shared" si="10"/>
        <v>0</v>
      </c>
      <c r="L111" s="446"/>
      <c r="M111" s="446"/>
    </row>
    <row r="112" spans="1:15" s="498" customFormat="1" ht="45" hidden="1" customHeight="1" x14ac:dyDescent="0.2">
      <c r="A112" s="486"/>
      <c r="B112" s="486"/>
      <c r="C112" s="440" t="s">
        <v>680</v>
      </c>
      <c r="D112" s="450" t="s">
        <v>192</v>
      </c>
      <c r="E112" s="450">
        <v>100574</v>
      </c>
      <c r="F112" s="442" t="s">
        <v>211</v>
      </c>
      <c r="G112" s="443">
        <f>'MC-TER'!R31</f>
        <v>0</v>
      </c>
      <c r="H112" s="437" t="s">
        <v>0</v>
      </c>
      <c r="I112" s="630">
        <v>1.35</v>
      </c>
      <c r="J112" s="439">
        <f>ROUND(I112*(1+$J$9),2)</f>
        <v>1.72</v>
      </c>
      <c r="K112" s="476">
        <f t="shared" si="10"/>
        <v>0</v>
      </c>
      <c r="L112" s="446"/>
      <c r="M112" s="446"/>
    </row>
    <row r="113" spans="1:14" s="498" customFormat="1" ht="45" hidden="1" customHeight="1" x14ac:dyDescent="0.2">
      <c r="A113" s="486"/>
      <c r="B113" s="486"/>
      <c r="C113" s="440" t="s">
        <v>681</v>
      </c>
      <c r="D113" s="450" t="s">
        <v>192</v>
      </c>
      <c r="E113" s="450">
        <v>95877</v>
      </c>
      <c r="F113" s="442" t="s">
        <v>565</v>
      </c>
      <c r="G113" s="443">
        <f>'MC-TER'!S31</f>
        <v>0</v>
      </c>
      <c r="H113" s="437" t="s">
        <v>566</v>
      </c>
      <c r="I113" s="630">
        <v>1.83</v>
      </c>
      <c r="J113" s="439">
        <f>ROUND(I113*(1+$J$9),2)</f>
        <v>2.33</v>
      </c>
      <c r="K113" s="476">
        <f t="shared" si="10"/>
        <v>0</v>
      </c>
      <c r="L113" s="446"/>
      <c r="M113" s="446"/>
    </row>
    <row r="114" spans="1:14" ht="27.75" hidden="1" customHeight="1" x14ac:dyDescent="0.2">
      <c r="A114" s="486"/>
      <c r="B114" s="486"/>
      <c r="C114" s="689" t="s">
        <v>17</v>
      </c>
      <c r="D114" s="689"/>
      <c r="E114" s="689"/>
      <c r="F114" s="689"/>
      <c r="G114" s="689"/>
      <c r="H114" s="689"/>
      <c r="I114" s="689"/>
      <c r="J114" s="689"/>
      <c r="K114" s="488">
        <f>SUM(K106:K113)</f>
        <v>0</v>
      </c>
      <c r="L114" s="481"/>
      <c r="M114" s="446"/>
    </row>
    <row r="115" spans="1:14" ht="27.95" hidden="1" customHeight="1" x14ac:dyDescent="0.2">
      <c r="A115" s="486"/>
      <c r="B115" s="486"/>
      <c r="C115" s="628">
        <v>6</v>
      </c>
      <c r="D115" s="628"/>
      <c r="E115" s="628"/>
      <c r="F115" s="628" t="s">
        <v>27</v>
      </c>
      <c r="G115" s="690"/>
      <c r="H115" s="690"/>
      <c r="I115" s="690"/>
      <c r="J115" s="690"/>
      <c r="K115" s="690"/>
      <c r="L115" s="446"/>
      <c r="M115" s="446"/>
    </row>
    <row r="116" spans="1:14" ht="45" hidden="1" customHeight="1" x14ac:dyDescent="0.2">
      <c r="A116" s="486"/>
      <c r="B116" s="486"/>
      <c r="C116" s="440" t="s">
        <v>188</v>
      </c>
      <c r="D116" s="440" t="s">
        <v>191</v>
      </c>
      <c r="E116" s="450" t="s">
        <v>438</v>
      </c>
      <c r="F116" s="442" t="s">
        <v>212</v>
      </c>
      <c r="G116" s="443">
        <f>'MC-PAV'!K24</f>
        <v>0</v>
      </c>
      <c r="H116" s="438" t="s">
        <v>2</v>
      </c>
      <c r="I116" s="629">
        <f>'CPU-V'!H25</f>
        <v>16.93</v>
      </c>
      <c r="J116" s="439">
        <f t="shared" ref="J116:J122" si="11">ROUND(I116*(1+$J$9),2)</f>
        <v>21.58</v>
      </c>
      <c r="K116" s="476">
        <f t="shared" ref="K116:K121" si="12">ROUND(J116*G116,2)</f>
        <v>0</v>
      </c>
      <c r="L116" s="446"/>
      <c r="M116" s="446"/>
    </row>
    <row r="117" spans="1:14" s="498" customFormat="1" ht="45" hidden="1" customHeight="1" x14ac:dyDescent="0.2">
      <c r="A117" s="486"/>
      <c r="B117" s="486"/>
      <c r="C117" s="440" t="s">
        <v>682</v>
      </c>
      <c r="D117" s="450" t="s">
        <v>192</v>
      </c>
      <c r="E117" s="450">
        <v>96402</v>
      </c>
      <c r="F117" s="442" t="s">
        <v>213</v>
      </c>
      <c r="G117" s="443">
        <f>'MC-PAV'!L24</f>
        <v>0</v>
      </c>
      <c r="H117" s="438" t="s">
        <v>2</v>
      </c>
      <c r="I117" s="629">
        <v>2.86</v>
      </c>
      <c r="J117" s="439">
        <f t="shared" si="11"/>
        <v>3.65</v>
      </c>
      <c r="K117" s="476">
        <f t="shared" si="12"/>
        <v>0</v>
      </c>
      <c r="L117" s="446"/>
      <c r="M117" s="446"/>
    </row>
    <row r="118" spans="1:14" ht="45" hidden="1" customHeight="1" x14ac:dyDescent="0.2">
      <c r="A118" s="486"/>
      <c r="B118" s="486"/>
      <c r="C118" s="440" t="s">
        <v>683</v>
      </c>
      <c r="D118" s="450" t="s">
        <v>191</v>
      </c>
      <c r="E118" s="450" t="s">
        <v>607</v>
      </c>
      <c r="F118" s="442" t="s">
        <v>158</v>
      </c>
      <c r="G118" s="443"/>
      <c r="H118" s="438" t="s">
        <v>28</v>
      </c>
      <c r="I118" s="629">
        <f>'CPU-VI'!G44</f>
        <v>746.84</v>
      </c>
      <c r="J118" s="439">
        <f t="shared" si="11"/>
        <v>951.92</v>
      </c>
      <c r="K118" s="476"/>
      <c r="L118" s="446" t="s">
        <v>584</v>
      </c>
      <c r="M118" s="446"/>
    </row>
    <row r="119" spans="1:14" s="498" customFormat="1" ht="45" hidden="1" customHeight="1" x14ac:dyDescent="0.2">
      <c r="A119" s="486"/>
      <c r="B119" s="486"/>
      <c r="C119" s="440" t="s">
        <v>686</v>
      </c>
      <c r="D119" s="450" t="s">
        <v>192</v>
      </c>
      <c r="E119" s="450">
        <v>93598</v>
      </c>
      <c r="F119" s="442" t="s">
        <v>366</v>
      </c>
      <c r="G119" s="443"/>
      <c r="H119" s="438" t="s">
        <v>29</v>
      </c>
      <c r="I119" s="629">
        <v>1.53</v>
      </c>
      <c r="J119" s="439">
        <f t="shared" si="11"/>
        <v>1.95</v>
      </c>
      <c r="K119" s="476">
        <f t="shared" si="12"/>
        <v>0</v>
      </c>
      <c r="L119" s="446"/>
      <c r="M119" s="446"/>
    </row>
    <row r="120" spans="1:14" s="498" customFormat="1" ht="45" hidden="1" customHeight="1" x14ac:dyDescent="0.2">
      <c r="A120" s="486"/>
      <c r="B120" s="486"/>
      <c r="C120" s="440" t="s">
        <v>687</v>
      </c>
      <c r="D120" s="450" t="s">
        <v>192</v>
      </c>
      <c r="E120" s="450">
        <v>95995</v>
      </c>
      <c r="F120" s="442" t="s">
        <v>583</v>
      </c>
      <c r="G120" s="443">
        <f>'MC-PAV'!N24</f>
        <v>0</v>
      </c>
      <c r="H120" s="437" t="s">
        <v>0</v>
      </c>
      <c r="I120" s="629">
        <v>2359.58</v>
      </c>
      <c r="J120" s="439">
        <f t="shared" si="11"/>
        <v>3007.52</v>
      </c>
      <c r="K120" s="476">
        <f t="shared" si="12"/>
        <v>0</v>
      </c>
      <c r="L120" s="446" t="s">
        <v>585</v>
      </c>
      <c r="M120" s="446"/>
    </row>
    <row r="121" spans="1:14" s="498" customFormat="1" ht="45" hidden="1" customHeight="1" x14ac:dyDescent="0.2">
      <c r="A121" s="486"/>
      <c r="B121" s="486"/>
      <c r="C121" s="440" t="s">
        <v>688</v>
      </c>
      <c r="D121" s="450" t="s">
        <v>192</v>
      </c>
      <c r="E121" s="450">
        <v>93592</v>
      </c>
      <c r="F121" s="442" t="s">
        <v>366</v>
      </c>
      <c r="G121" s="443">
        <f>'MC-PAV'!O24</f>
        <v>0</v>
      </c>
      <c r="H121" s="437" t="s">
        <v>566</v>
      </c>
      <c r="I121" s="629">
        <v>2.3199999999999998</v>
      </c>
      <c r="J121" s="439">
        <f t="shared" si="11"/>
        <v>2.96</v>
      </c>
      <c r="K121" s="476">
        <f t="shared" si="12"/>
        <v>0</v>
      </c>
      <c r="L121" s="446"/>
      <c r="M121" s="446"/>
    </row>
    <row r="122" spans="1:14" ht="45" hidden="1" customHeight="1" x14ac:dyDescent="0.2">
      <c r="A122" s="486"/>
      <c r="B122" s="486"/>
      <c r="C122" s="440" t="s">
        <v>689</v>
      </c>
      <c r="D122" s="450" t="s">
        <v>191</v>
      </c>
      <c r="E122" s="450" t="s">
        <v>674</v>
      </c>
      <c r="F122" s="442" t="s">
        <v>495</v>
      </c>
      <c r="G122" s="443">
        <f>'CPU-VI'!E14:G14</f>
        <v>0</v>
      </c>
      <c r="H122" s="437" t="s">
        <v>492</v>
      </c>
      <c r="I122" s="629">
        <f>'CPU-VII'!G43</f>
        <v>200.42</v>
      </c>
      <c r="J122" s="439">
        <f t="shared" si="11"/>
        <v>255.46</v>
      </c>
      <c r="K122" s="476">
        <f>ROUND(J122*G122,2)</f>
        <v>0</v>
      </c>
      <c r="L122" s="446"/>
      <c r="M122" s="446"/>
    </row>
    <row r="123" spans="1:14" ht="27.95" hidden="1" customHeight="1" x14ac:dyDescent="0.2">
      <c r="A123" s="486"/>
      <c r="B123" s="486"/>
      <c r="C123" s="689" t="s">
        <v>17</v>
      </c>
      <c r="D123" s="689"/>
      <c r="E123" s="689"/>
      <c r="F123" s="689"/>
      <c r="G123" s="689"/>
      <c r="H123" s="689"/>
      <c r="I123" s="689"/>
      <c r="J123" s="689"/>
      <c r="K123" s="488">
        <f>SUM(K116:K122)</f>
        <v>0</v>
      </c>
      <c r="L123" s="446"/>
      <c r="M123" s="446"/>
    </row>
    <row r="124" spans="1:14" s="498" customFormat="1" ht="27.95" customHeight="1" x14ac:dyDescent="0.2">
      <c r="A124" s="486"/>
      <c r="B124" s="486"/>
      <c r="C124" s="628">
        <v>3</v>
      </c>
      <c r="D124" s="628"/>
      <c r="E124" s="628"/>
      <c r="F124" s="628" t="s">
        <v>12</v>
      </c>
      <c r="G124" s="690"/>
      <c r="H124" s="690"/>
      <c r="I124" s="690"/>
      <c r="J124" s="690"/>
      <c r="K124" s="690"/>
      <c r="L124" s="446"/>
      <c r="M124" s="446">
        <v>1</v>
      </c>
    </row>
    <row r="125" spans="1:14" s="498" customFormat="1" ht="45" customHeight="1" x14ac:dyDescent="0.2">
      <c r="A125" s="486"/>
      <c r="B125" s="486"/>
      <c r="C125" s="440" t="s">
        <v>11</v>
      </c>
      <c r="D125" s="440" t="s">
        <v>190</v>
      </c>
      <c r="E125" s="441" t="s">
        <v>214</v>
      </c>
      <c r="F125" s="442" t="s">
        <v>154</v>
      </c>
      <c r="G125" s="443">
        <f>'MC-PAV'!Q24</f>
        <v>1215</v>
      </c>
      <c r="H125" s="438" t="s">
        <v>2</v>
      </c>
      <c r="I125" s="477">
        <v>7.18</v>
      </c>
      <c r="J125" s="439">
        <f>ROUND(I125*(1+$J$9),2)</f>
        <v>9.15</v>
      </c>
      <c r="K125" s="476">
        <f>ROUND(J125*G125,2)</f>
        <v>11117.25</v>
      </c>
      <c r="L125" s="446"/>
      <c r="M125" s="446"/>
    </row>
    <row r="126" spans="1:14" ht="27.95" customHeight="1" x14ac:dyDescent="0.2">
      <c r="A126" s="486"/>
      <c r="B126" s="486"/>
      <c r="C126" s="689" t="s">
        <v>663</v>
      </c>
      <c r="D126" s="689"/>
      <c r="E126" s="689"/>
      <c r="F126" s="689"/>
      <c r="G126" s="689"/>
      <c r="H126" s="689"/>
      <c r="I126" s="689"/>
      <c r="J126" s="689"/>
      <c r="K126" s="488">
        <f>SUM(K125)</f>
        <v>11117.25</v>
      </c>
      <c r="L126" s="446"/>
      <c r="M126" s="446"/>
    </row>
    <row r="127" spans="1:14" ht="27.95" customHeight="1" x14ac:dyDescent="0.2">
      <c r="A127" s="486"/>
      <c r="B127" s="486"/>
      <c r="C127" s="702" t="s">
        <v>26</v>
      </c>
      <c r="D127" s="702"/>
      <c r="E127" s="702"/>
      <c r="F127" s="702"/>
      <c r="G127" s="702"/>
      <c r="H127" s="702"/>
      <c r="I127" s="702"/>
      <c r="J127" s="702"/>
      <c r="K127" s="625">
        <f>SUM(K16,K20,K26,K98,K104,K114,K123,K126)</f>
        <v>431337.69</v>
      </c>
      <c r="L127" s="446"/>
      <c r="M127" s="446">
        <v>11</v>
      </c>
    </row>
    <row r="128" spans="1:14" x14ac:dyDescent="0.2">
      <c r="A128" s="446"/>
      <c r="B128" s="446"/>
      <c r="C128" s="446"/>
      <c r="D128" s="446"/>
      <c r="E128" s="446"/>
      <c r="F128" s="446"/>
      <c r="G128" s="446"/>
      <c r="H128" s="446"/>
      <c r="I128" s="446"/>
      <c r="J128" s="446"/>
      <c r="K128" s="446"/>
      <c r="L128" s="446"/>
      <c r="M128" s="446"/>
      <c r="N128" s="451"/>
    </row>
    <row r="129" spans="1:14" x14ac:dyDescent="0.2">
      <c r="A129" s="446"/>
      <c r="B129" s="446"/>
      <c r="C129" s="446"/>
      <c r="D129" s="446"/>
      <c r="E129" s="446"/>
      <c r="F129" s="446"/>
      <c r="G129" s="446"/>
      <c r="H129" s="446"/>
      <c r="I129" s="446"/>
      <c r="J129" s="446"/>
      <c r="K129" s="446"/>
      <c r="L129" s="446"/>
      <c r="M129" s="446"/>
      <c r="N129" s="449"/>
    </row>
    <row r="130" spans="1:14" x14ac:dyDescent="0.2">
      <c r="A130" s="446"/>
      <c r="B130" s="446"/>
      <c r="C130" s="446"/>
      <c r="D130" s="446"/>
      <c r="E130" s="446"/>
      <c r="F130" s="446"/>
      <c r="G130" s="446"/>
      <c r="H130" s="446"/>
      <c r="I130" s="446"/>
      <c r="J130" s="446"/>
      <c r="K130" s="481"/>
      <c r="L130" s="446"/>
      <c r="M130" s="446"/>
    </row>
    <row r="131" spans="1:14" x14ac:dyDescent="0.2">
      <c r="A131" s="446"/>
      <c r="B131" s="446"/>
      <c r="C131" s="446"/>
      <c r="D131" s="446"/>
      <c r="E131" s="446"/>
      <c r="F131" s="446"/>
      <c r="G131" s="446"/>
      <c r="H131" s="446"/>
      <c r="I131" s="446"/>
      <c r="J131" s="446"/>
      <c r="K131" s="446"/>
      <c r="L131" s="446"/>
      <c r="M131" s="446"/>
    </row>
    <row r="132" spans="1:14" x14ac:dyDescent="0.2">
      <c r="A132" s="446"/>
      <c r="B132" s="446"/>
      <c r="C132" s="446"/>
      <c r="D132" s="446"/>
      <c r="E132" s="446"/>
      <c r="F132" s="446"/>
      <c r="G132" s="446"/>
      <c r="H132" s="446"/>
      <c r="I132" s="446"/>
      <c r="J132" s="446"/>
      <c r="K132" s="446"/>
      <c r="L132" s="446"/>
      <c r="M132" s="446"/>
    </row>
    <row r="133" spans="1:14" x14ac:dyDescent="0.2">
      <c r="A133" s="446"/>
      <c r="B133" s="446"/>
      <c r="C133" s="446"/>
      <c r="D133" s="446"/>
      <c r="E133" s="446"/>
      <c r="F133" s="446"/>
      <c r="G133" s="446"/>
      <c r="H133" s="446"/>
      <c r="I133" s="446"/>
      <c r="J133" s="446"/>
      <c r="K133" s="446"/>
      <c r="L133" s="446"/>
      <c r="M133" s="446"/>
    </row>
    <row r="134" spans="1:14" x14ac:dyDescent="0.2">
      <c r="A134" s="446"/>
      <c r="B134" s="446"/>
      <c r="C134" s="446"/>
      <c r="D134" s="446"/>
      <c r="E134" s="446"/>
      <c r="F134" s="446"/>
      <c r="G134" s="446"/>
      <c r="H134" s="446"/>
      <c r="I134" s="446"/>
      <c r="J134" s="446"/>
      <c r="K134" s="446"/>
      <c r="L134" s="446"/>
      <c r="M134" s="446"/>
    </row>
    <row r="135" spans="1:14" x14ac:dyDescent="0.2">
      <c r="A135" s="446"/>
      <c r="B135" s="446"/>
      <c r="C135" s="446"/>
      <c r="D135" s="446"/>
      <c r="E135" s="446"/>
      <c r="F135" s="446"/>
      <c r="G135" s="446"/>
      <c r="H135" s="446"/>
      <c r="I135" s="446"/>
      <c r="J135" s="446"/>
      <c r="K135" s="446"/>
      <c r="L135" s="446"/>
      <c r="M135" s="446"/>
    </row>
    <row r="136" spans="1:14" x14ac:dyDescent="0.2">
      <c r="A136" s="446"/>
      <c r="B136" s="446"/>
      <c r="C136" s="446"/>
      <c r="D136" s="446"/>
      <c r="E136" s="446"/>
      <c r="F136" s="446"/>
      <c r="G136" s="446"/>
      <c r="H136" s="446"/>
      <c r="I136" s="446"/>
      <c r="J136" s="446"/>
      <c r="K136" s="446"/>
      <c r="L136" s="446"/>
      <c r="M136" s="446"/>
    </row>
    <row r="137" spans="1:14" x14ac:dyDescent="0.2">
      <c r="A137" s="446"/>
      <c r="B137" s="446"/>
      <c r="C137" s="446"/>
      <c r="D137" s="446"/>
      <c r="E137" s="446"/>
      <c r="F137" s="446"/>
      <c r="G137" s="446"/>
      <c r="H137" s="446"/>
      <c r="I137" s="446"/>
      <c r="J137" s="446"/>
      <c r="K137" s="446"/>
      <c r="L137" s="446"/>
      <c r="M137" s="446"/>
    </row>
    <row r="138" spans="1:14" x14ac:dyDescent="0.2">
      <c r="A138" s="446"/>
      <c r="B138" s="446"/>
      <c r="C138" s="446"/>
      <c r="D138" s="446"/>
      <c r="E138" s="446"/>
      <c r="F138" s="446"/>
      <c r="G138" s="446"/>
      <c r="H138" s="446"/>
      <c r="I138" s="446"/>
      <c r="J138" s="446"/>
      <c r="K138" s="446"/>
      <c r="L138" s="446"/>
      <c r="M138" s="446"/>
    </row>
    <row r="139" spans="1:14" x14ac:dyDescent="0.2">
      <c r="A139" s="446"/>
      <c r="B139" s="446"/>
      <c r="C139" s="446"/>
      <c r="D139" s="446"/>
      <c r="E139" s="446"/>
      <c r="F139" s="446"/>
      <c r="G139" s="446"/>
      <c r="H139" s="446"/>
      <c r="I139" s="446"/>
      <c r="J139" s="446"/>
      <c r="K139" s="446"/>
      <c r="L139" s="446"/>
      <c r="M139" s="446"/>
    </row>
    <row r="140" spans="1:14" x14ac:dyDescent="0.2">
      <c r="A140" s="446"/>
      <c r="B140" s="446"/>
      <c r="C140" s="446"/>
      <c r="D140" s="446"/>
      <c r="E140" s="446"/>
      <c r="F140" s="446"/>
      <c r="G140" s="446"/>
      <c r="H140" s="446"/>
      <c r="I140" s="446"/>
      <c r="J140" s="446"/>
      <c r="K140" s="446"/>
      <c r="L140" s="446"/>
      <c r="M140" s="446"/>
    </row>
    <row r="141" spans="1:14" x14ac:dyDescent="0.2">
      <c r="A141" s="446"/>
      <c r="B141" s="446"/>
      <c r="C141" s="446"/>
      <c r="D141" s="446"/>
      <c r="E141" s="446"/>
      <c r="F141" s="446"/>
      <c r="G141" s="701"/>
      <c r="H141" s="701"/>
      <c r="I141" s="701"/>
      <c r="J141" s="446"/>
      <c r="K141" s="446"/>
      <c r="L141" s="446"/>
      <c r="M141" s="446"/>
    </row>
    <row r="142" spans="1:14" x14ac:dyDescent="0.2">
      <c r="A142" s="446"/>
      <c r="B142" s="446"/>
      <c r="C142" s="446"/>
      <c r="D142" s="446"/>
      <c r="E142" s="446"/>
      <c r="F142" s="446"/>
      <c r="G142" s="446"/>
      <c r="H142" s="446"/>
      <c r="I142" s="446"/>
      <c r="J142" s="446"/>
      <c r="K142" s="446"/>
      <c r="L142" s="446"/>
      <c r="M142" s="446"/>
    </row>
    <row r="143" spans="1:14" x14ac:dyDescent="0.2">
      <c r="A143" s="446"/>
      <c r="B143" s="446"/>
      <c r="C143" s="446"/>
      <c r="D143" s="446"/>
      <c r="E143" s="446"/>
      <c r="F143" s="446"/>
      <c r="G143" s="446"/>
      <c r="H143" s="446"/>
      <c r="I143" s="446"/>
      <c r="J143" s="446"/>
      <c r="K143" s="446"/>
      <c r="L143" s="446"/>
      <c r="M143" s="446"/>
    </row>
    <row r="144" spans="1:14" x14ac:dyDescent="0.2">
      <c r="A144" s="446"/>
      <c r="B144" s="446"/>
      <c r="C144" s="446"/>
      <c r="D144" s="446"/>
      <c r="E144" s="446"/>
      <c r="F144" s="446"/>
      <c r="G144" s="446"/>
      <c r="H144" s="446"/>
      <c r="I144" s="446"/>
      <c r="J144" s="446"/>
      <c r="K144" s="446"/>
      <c r="L144" s="446"/>
      <c r="M144" s="446"/>
    </row>
    <row r="145" spans="1:13" x14ac:dyDescent="0.2">
      <c r="A145" s="446"/>
      <c r="B145" s="446"/>
      <c r="C145" s="446"/>
      <c r="D145" s="446"/>
      <c r="E145" s="446"/>
      <c r="F145" s="446"/>
      <c r="G145" s="446"/>
      <c r="H145" s="446"/>
      <c r="I145" s="446"/>
      <c r="J145" s="446"/>
      <c r="K145" s="446"/>
      <c r="L145" s="446"/>
      <c r="M145" s="446"/>
    </row>
    <row r="146" spans="1:13" x14ac:dyDescent="0.2">
      <c r="A146" s="446"/>
      <c r="B146" s="446"/>
      <c r="C146" s="446"/>
      <c r="D146" s="446"/>
      <c r="E146" s="446"/>
      <c r="F146" s="446"/>
      <c r="G146" s="446"/>
      <c r="H146" s="446"/>
      <c r="I146" s="446"/>
      <c r="J146" s="446"/>
      <c r="K146" s="446"/>
      <c r="L146" s="446"/>
      <c r="M146" s="446"/>
    </row>
    <row r="147" spans="1:13" x14ac:dyDescent="0.2">
      <c r="A147" s="446"/>
      <c r="B147" s="446"/>
      <c r="C147" s="446"/>
      <c r="D147" s="446"/>
      <c r="E147" s="446"/>
      <c r="F147" s="446"/>
      <c r="G147" s="446"/>
      <c r="H147" s="446"/>
      <c r="I147" s="446"/>
      <c r="J147" s="446"/>
      <c r="K147" s="446"/>
      <c r="L147" s="446"/>
      <c r="M147" s="446"/>
    </row>
    <row r="148" spans="1:13" x14ac:dyDescent="0.2">
      <c r="A148" s="446"/>
      <c r="B148" s="446"/>
      <c r="C148" s="446"/>
      <c r="D148" s="446"/>
      <c r="E148" s="446"/>
      <c r="F148" s="446"/>
      <c r="G148" s="446"/>
      <c r="H148" s="446"/>
      <c r="I148" s="446"/>
      <c r="J148" s="446"/>
      <c r="K148" s="446"/>
      <c r="L148" s="446"/>
      <c r="M148" s="446"/>
    </row>
    <row r="149" spans="1:13" x14ac:dyDescent="0.2">
      <c r="A149" s="446"/>
      <c r="B149" s="446"/>
      <c r="C149" s="446"/>
      <c r="D149" s="446"/>
      <c r="E149" s="446"/>
      <c r="F149" s="446"/>
      <c r="G149" s="446"/>
      <c r="H149" s="446"/>
      <c r="I149" s="446"/>
      <c r="J149" s="446"/>
      <c r="K149" s="446"/>
      <c r="L149" s="446"/>
      <c r="M149" s="446"/>
    </row>
    <row r="150" spans="1:13" x14ac:dyDescent="0.2">
      <c r="A150" s="446"/>
      <c r="B150" s="446"/>
      <c r="C150" s="446"/>
      <c r="D150" s="446"/>
      <c r="E150" s="446"/>
      <c r="F150" s="446"/>
      <c r="G150" s="446"/>
      <c r="H150" s="446"/>
      <c r="I150" s="446"/>
      <c r="J150" s="446"/>
      <c r="K150" s="446"/>
      <c r="L150" s="446"/>
      <c r="M150" s="446"/>
    </row>
    <row r="151" spans="1:13" x14ac:dyDescent="0.2">
      <c r="A151" s="446"/>
      <c r="B151" s="446"/>
      <c r="C151" s="446"/>
      <c r="D151" s="446"/>
      <c r="E151" s="446"/>
      <c r="F151" s="446"/>
      <c r="G151" s="446"/>
      <c r="H151" s="446"/>
      <c r="I151" s="446"/>
      <c r="J151" s="446"/>
      <c r="K151" s="446"/>
      <c r="L151" s="446"/>
      <c r="M151" s="446"/>
    </row>
  </sheetData>
  <mergeCells count="49">
    <mergeCell ref="N109:O109"/>
    <mergeCell ref="C1:K5"/>
    <mergeCell ref="G141:I141"/>
    <mergeCell ref="C123:J123"/>
    <mergeCell ref="C104:J104"/>
    <mergeCell ref="G105:K105"/>
    <mergeCell ref="C114:J114"/>
    <mergeCell ref="G124:K124"/>
    <mergeCell ref="G115:K115"/>
    <mergeCell ref="C127:J127"/>
    <mergeCell ref="C126:J126"/>
    <mergeCell ref="G99:K99"/>
    <mergeCell ref="C98:J98"/>
    <mergeCell ref="C16:J16"/>
    <mergeCell ref="C8:C9"/>
    <mergeCell ref="D8:D9"/>
    <mergeCell ref="C26:J26"/>
    <mergeCell ref="G21:K21"/>
    <mergeCell ref="G27:K27"/>
    <mergeCell ref="D21:F21"/>
    <mergeCell ref="C20:J20"/>
    <mergeCell ref="K8:K9"/>
    <mergeCell ref="D10:F10"/>
    <mergeCell ref="D17:F17"/>
    <mergeCell ref="G17:K17"/>
    <mergeCell ref="C6:K6"/>
    <mergeCell ref="G10:K10"/>
    <mergeCell ref="C7:K7"/>
    <mergeCell ref="E8:E9"/>
    <mergeCell ref="F8:F9"/>
    <mergeCell ref="G8:G9"/>
    <mergeCell ref="H8:H9"/>
    <mergeCell ref="I8:I9"/>
    <mergeCell ref="O10:O11"/>
    <mergeCell ref="P10:P11"/>
    <mergeCell ref="M15:M16"/>
    <mergeCell ref="N15:N16"/>
    <mergeCell ref="O15:O16"/>
    <mergeCell ref="P15:P16"/>
    <mergeCell ref="M10:M11"/>
    <mergeCell ref="N10:N11"/>
    <mergeCell ref="O17:O18"/>
    <mergeCell ref="P17:P18"/>
    <mergeCell ref="M19:M20"/>
    <mergeCell ref="N19:N20"/>
    <mergeCell ref="O19:O20"/>
    <mergeCell ref="P19:P20"/>
    <mergeCell ref="M17:M18"/>
    <mergeCell ref="N17:N18"/>
  </mergeCells>
  <printOptions horizontalCentered="1"/>
  <pageMargins left="0" right="0" top="0.43307086614173229" bottom="0" header="0" footer="0"/>
  <pageSetup paperSize="9" scale="53" fitToHeight="0" orientation="landscape"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F194"/>
  <sheetViews>
    <sheetView view="pageBreakPreview" topLeftCell="B1" zoomScale="44" zoomScaleNormal="48" zoomScaleSheetLayoutView="44" workbookViewId="0">
      <selection activeCell="B31" sqref="B31"/>
    </sheetView>
  </sheetViews>
  <sheetFormatPr defaultColWidth="11.5703125" defaultRowHeight="12.75" x14ac:dyDescent="0.2"/>
  <cols>
    <col min="1" max="1" width="11.5703125" style="1" bestFit="1" customWidth="1"/>
    <col min="2" max="2" width="39.140625" style="1" customWidth="1"/>
    <col min="3" max="3" width="13.42578125" style="299" bestFit="1" customWidth="1"/>
    <col min="4" max="4" width="19.42578125" style="299" bestFit="1" customWidth="1"/>
    <col min="5" max="5" width="19.140625" style="299" bestFit="1" customWidth="1"/>
    <col min="6" max="6" width="20.85546875" style="299" bestFit="1" customWidth="1"/>
    <col min="7" max="7" width="27.7109375" style="299" bestFit="1" customWidth="1"/>
    <col min="8" max="8" width="27.7109375" style="299" customWidth="1"/>
    <col min="9" max="9" width="45.85546875" style="1" bestFit="1" customWidth="1"/>
    <col min="10" max="10" width="29.140625" style="1" bestFit="1" customWidth="1"/>
    <col min="11" max="11" width="42.7109375" style="1" customWidth="1"/>
    <col min="12" max="12" width="30.5703125" style="1" bestFit="1" customWidth="1"/>
    <col min="13" max="13" width="29.85546875" style="1" bestFit="1" customWidth="1"/>
    <col min="14" max="14" width="30" style="1" bestFit="1" customWidth="1"/>
    <col min="15" max="15" width="28.28515625" style="1" customWidth="1"/>
    <col min="16" max="16" width="29.42578125" style="1" customWidth="1"/>
    <col min="17" max="17" width="37.7109375" style="1" hidden="1" customWidth="1"/>
    <col min="18" max="18" width="42.7109375" style="1" customWidth="1"/>
    <col min="19" max="19" width="19" style="1" customWidth="1"/>
    <col min="20" max="29" width="23.7109375" style="1" customWidth="1"/>
    <col min="30" max="30" width="25.5703125" style="1" bestFit="1" customWidth="1"/>
    <col min="31" max="16384" width="11.5703125" style="1"/>
  </cols>
  <sheetData>
    <row r="1" spans="1:32" s="279" customFormat="1" ht="24.95" customHeight="1" x14ac:dyDescent="0.35">
      <c r="A1" s="275"/>
      <c r="B1" s="276"/>
      <c r="C1" s="277"/>
      <c r="D1" s="277"/>
      <c r="E1" s="277"/>
      <c r="F1" s="277"/>
      <c r="G1" s="277"/>
      <c r="H1" s="277"/>
      <c r="I1" s="276"/>
      <c r="J1" s="276"/>
      <c r="K1" s="276"/>
      <c r="L1" s="276"/>
      <c r="M1" s="276"/>
      <c r="N1" s="276"/>
      <c r="O1" s="276"/>
      <c r="P1" s="276"/>
      <c r="Q1" s="276"/>
      <c r="R1" s="278"/>
      <c r="S1" s="301"/>
    </row>
    <row r="2" spans="1:32" s="279" customFormat="1" ht="24.95" customHeight="1" x14ac:dyDescent="0.4">
      <c r="A2" s="738" t="s">
        <v>19</v>
      </c>
      <c r="B2" s="739"/>
      <c r="C2" s="739"/>
      <c r="D2" s="739"/>
      <c r="E2" s="739"/>
      <c r="F2" s="739"/>
      <c r="G2" s="739"/>
      <c r="H2" s="739"/>
      <c r="I2" s="739"/>
      <c r="J2" s="739"/>
      <c r="K2" s="739"/>
      <c r="L2" s="739"/>
      <c r="M2" s="739"/>
      <c r="N2" s="739"/>
      <c r="O2" s="739"/>
      <c r="P2" s="739"/>
      <c r="Q2" s="739"/>
      <c r="R2" s="740"/>
      <c r="S2" s="302"/>
    </row>
    <row r="3" spans="1:32" s="279" customFormat="1" ht="24.95" customHeight="1" x14ac:dyDescent="0.4">
      <c r="A3" s="738" t="s">
        <v>193</v>
      </c>
      <c r="B3" s="739"/>
      <c r="C3" s="739"/>
      <c r="D3" s="739"/>
      <c r="E3" s="739"/>
      <c r="F3" s="739"/>
      <c r="G3" s="739"/>
      <c r="H3" s="739"/>
      <c r="I3" s="739"/>
      <c r="J3" s="739"/>
      <c r="K3" s="739"/>
      <c r="L3" s="739"/>
      <c r="M3" s="739"/>
      <c r="N3" s="739"/>
      <c r="O3" s="739"/>
      <c r="P3" s="739"/>
      <c r="Q3" s="739"/>
      <c r="R3" s="740"/>
      <c r="S3" s="302"/>
    </row>
    <row r="4" spans="1:32" s="279" customFormat="1" ht="24.95" customHeight="1" x14ac:dyDescent="0.4">
      <c r="A4" s="738" t="s">
        <v>18</v>
      </c>
      <c r="B4" s="739"/>
      <c r="C4" s="739"/>
      <c r="D4" s="739"/>
      <c r="E4" s="739"/>
      <c r="F4" s="739"/>
      <c r="G4" s="739"/>
      <c r="H4" s="739"/>
      <c r="I4" s="739"/>
      <c r="J4" s="739"/>
      <c r="K4" s="739"/>
      <c r="L4" s="739"/>
      <c r="M4" s="739"/>
      <c r="N4" s="739"/>
      <c r="O4" s="739"/>
      <c r="P4" s="739"/>
      <c r="Q4" s="739"/>
      <c r="R4" s="740"/>
      <c r="S4" s="302"/>
    </row>
    <row r="5" spans="1:32" s="279" customFormat="1" ht="24.95" customHeight="1" thickBot="1" x14ac:dyDescent="0.45">
      <c r="A5" s="312"/>
      <c r="B5" s="313"/>
      <c r="C5" s="313"/>
      <c r="D5" s="313"/>
      <c r="E5" s="313"/>
      <c r="F5" s="313"/>
      <c r="G5" s="313"/>
      <c r="H5" s="313"/>
      <c r="I5" s="313"/>
      <c r="J5" s="313"/>
      <c r="K5" s="313"/>
      <c r="L5" s="313"/>
      <c r="M5" s="313"/>
      <c r="N5" s="313"/>
      <c r="O5" s="313"/>
      <c r="P5" s="313"/>
      <c r="Q5" s="313"/>
      <c r="R5" s="314"/>
      <c r="S5" s="303"/>
    </row>
    <row r="6" spans="1:32" ht="41.25" customHeight="1" thickTop="1" thickBot="1" x14ac:dyDescent="0.25">
      <c r="A6" s="741" t="s">
        <v>395</v>
      </c>
      <c r="B6" s="742"/>
      <c r="C6" s="742"/>
      <c r="D6" s="742"/>
      <c r="E6" s="742"/>
      <c r="F6" s="742"/>
      <c r="G6" s="742"/>
      <c r="H6" s="742"/>
      <c r="I6" s="742"/>
      <c r="J6" s="742"/>
      <c r="K6" s="742"/>
      <c r="L6" s="742"/>
      <c r="M6" s="742"/>
      <c r="N6" s="742"/>
      <c r="O6" s="742"/>
      <c r="P6" s="742"/>
      <c r="Q6" s="742"/>
      <c r="R6" s="743"/>
      <c r="S6" s="304"/>
    </row>
    <row r="7" spans="1:32" ht="35.1" customHeight="1" thickTop="1" thickBot="1" x14ac:dyDescent="0.25">
      <c r="A7" s="744" t="str">
        <f>'ORÇAMENTO GERAL'!C7</f>
        <v>EXECUÇÃO DOS SERVIÇOS DE DRENAGEM SUPERFICIAL E DRENAGEM PROFUNDA  NA TRAVESSA BEIRA RIO E RUA MOCAJATUBA - NO DISTRITO INDUSTRIAL  NO MUNICÍPIO DE ANANINDEUA (PA).</v>
      </c>
      <c r="B7" s="745"/>
      <c r="C7" s="745"/>
      <c r="D7" s="745"/>
      <c r="E7" s="745"/>
      <c r="F7" s="745"/>
      <c r="G7" s="745"/>
      <c r="H7" s="745"/>
      <c r="I7" s="745"/>
      <c r="J7" s="745"/>
      <c r="K7" s="745"/>
      <c r="L7" s="745"/>
      <c r="M7" s="745"/>
      <c r="N7" s="745"/>
      <c r="O7" s="745"/>
      <c r="P7" s="745"/>
      <c r="Q7" s="745"/>
      <c r="R7" s="746"/>
      <c r="S7" s="305"/>
    </row>
    <row r="8" spans="1:32" s="280" customFormat="1" ht="45" customHeight="1" thickBot="1" x14ac:dyDescent="0.45">
      <c r="A8" s="716" t="s">
        <v>385</v>
      </c>
      <c r="B8" s="717"/>
      <c r="C8" s="717"/>
      <c r="D8" s="717"/>
      <c r="E8" s="717"/>
      <c r="F8" s="717"/>
      <c r="G8" s="717"/>
      <c r="H8" s="717"/>
      <c r="I8" s="717"/>
      <c r="J8" s="717"/>
      <c r="K8" s="717"/>
      <c r="L8" s="717"/>
      <c r="M8" s="717"/>
      <c r="N8" s="717"/>
      <c r="O8" s="717"/>
      <c r="P8" s="717"/>
      <c r="Q8" s="717"/>
      <c r="R8" s="717"/>
      <c r="S8" s="306"/>
    </row>
    <row r="9" spans="1:32" s="280" customFormat="1" ht="45" customHeight="1" x14ac:dyDescent="0.4">
      <c r="A9" s="706" t="s">
        <v>7</v>
      </c>
      <c r="B9" s="709" t="s">
        <v>389</v>
      </c>
      <c r="C9" s="721" t="s">
        <v>371</v>
      </c>
      <c r="D9" s="721"/>
      <c r="E9" s="721"/>
      <c r="F9" s="712" t="s">
        <v>517</v>
      </c>
      <c r="G9" s="712"/>
      <c r="H9" s="712"/>
      <c r="I9" s="712"/>
      <c r="J9" s="712" t="s">
        <v>518</v>
      </c>
      <c r="K9" s="719" t="s">
        <v>521</v>
      </c>
      <c r="L9" s="712" t="s">
        <v>380</v>
      </c>
      <c r="M9" s="712" t="s">
        <v>383</v>
      </c>
      <c r="N9" s="703" t="s">
        <v>381</v>
      </c>
      <c r="O9" s="703" t="s">
        <v>519</v>
      </c>
      <c r="P9" s="703" t="s">
        <v>615</v>
      </c>
      <c r="Q9" s="703" t="s">
        <v>520</v>
      </c>
      <c r="R9" s="721" t="s">
        <v>384</v>
      </c>
      <c r="S9" s="306"/>
    </row>
    <row r="10" spans="1:32" s="280" customFormat="1" ht="45" customHeight="1" x14ac:dyDescent="0.4">
      <c r="A10" s="707"/>
      <c r="B10" s="710"/>
      <c r="C10" s="722"/>
      <c r="D10" s="722"/>
      <c r="E10" s="722"/>
      <c r="F10" s="713"/>
      <c r="G10" s="713"/>
      <c r="H10" s="713"/>
      <c r="I10" s="713"/>
      <c r="J10" s="713"/>
      <c r="K10" s="720"/>
      <c r="L10" s="713"/>
      <c r="M10" s="713"/>
      <c r="N10" s="704"/>
      <c r="O10" s="705"/>
      <c r="P10" s="705"/>
      <c r="Q10" s="704"/>
      <c r="R10" s="722"/>
      <c r="S10" s="306"/>
      <c r="T10" s="411"/>
      <c r="U10" s="411"/>
      <c r="V10" s="411"/>
      <c r="W10" s="411"/>
      <c r="X10" s="411"/>
      <c r="Y10" s="411"/>
      <c r="Z10" s="412"/>
      <c r="AA10" s="412"/>
      <c r="AB10" s="412"/>
      <c r="AC10" s="412"/>
    </row>
    <row r="11" spans="1:32" s="280" customFormat="1" ht="45" customHeight="1" x14ac:dyDescent="0.4">
      <c r="A11" s="707"/>
      <c r="B11" s="710"/>
      <c r="C11" s="281" t="s">
        <v>155</v>
      </c>
      <c r="D11" s="410" t="s">
        <v>526</v>
      </c>
      <c r="E11" s="281" t="s">
        <v>378</v>
      </c>
      <c r="F11" s="281" t="s">
        <v>372</v>
      </c>
      <c r="G11" s="281" t="s">
        <v>377</v>
      </c>
      <c r="H11" s="281" t="s">
        <v>379</v>
      </c>
      <c r="I11" s="281" t="s">
        <v>23</v>
      </c>
      <c r="J11" s="713"/>
      <c r="K11" s="720"/>
      <c r="L11" s="713"/>
      <c r="M11" s="713"/>
      <c r="N11" s="705"/>
      <c r="O11" s="281" t="s">
        <v>23</v>
      </c>
      <c r="P11" s="281" t="s">
        <v>23</v>
      </c>
      <c r="Q11" s="705"/>
      <c r="R11" s="747"/>
      <c r="S11" s="306"/>
      <c r="T11" s="413"/>
      <c r="U11" s="413"/>
      <c r="V11" s="411"/>
      <c r="W11" s="411"/>
      <c r="X11" s="411"/>
      <c r="Y11" s="411"/>
      <c r="Z11" s="413"/>
      <c r="AA11" s="412"/>
      <c r="AB11" s="412"/>
      <c r="AC11" s="412"/>
    </row>
    <row r="12" spans="1:32" s="280" customFormat="1" ht="52.5" x14ac:dyDescent="0.4">
      <c r="A12" s="707"/>
      <c r="B12" s="710"/>
      <c r="C12" s="282"/>
      <c r="D12" s="282"/>
      <c r="E12" s="282" t="s">
        <v>52</v>
      </c>
      <c r="F12" s="282" t="s">
        <v>55</v>
      </c>
      <c r="G12" s="282" t="s">
        <v>15</v>
      </c>
      <c r="H12" s="282" t="s">
        <v>9</v>
      </c>
      <c r="I12" s="282" t="s">
        <v>610</v>
      </c>
      <c r="J12" s="408" t="s">
        <v>586</v>
      </c>
      <c r="K12" s="409" t="s">
        <v>522</v>
      </c>
      <c r="L12" s="282" t="s">
        <v>523</v>
      </c>
      <c r="M12" s="408" t="s">
        <v>524</v>
      </c>
      <c r="N12" s="282" t="s">
        <v>525</v>
      </c>
      <c r="O12" s="282" t="s">
        <v>618</v>
      </c>
      <c r="P12" s="462" t="s">
        <v>619</v>
      </c>
      <c r="Q12" s="462" t="s">
        <v>616</v>
      </c>
      <c r="R12" s="620" t="s">
        <v>617</v>
      </c>
      <c r="S12" s="306"/>
      <c r="T12" s="727" t="s">
        <v>530</v>
      </c>
      <c r="U12" s="727"/>
      <c r="V12" s="727"/>
      <c r="W12" s="727"/>
      <c r="X12" s="727"/>
      <c r="Y12" s="727"/>
      <c r="Z12" s="727"/>
      <c r="AA12" s="727"/>
      <c r="AB12" s="727"/>
      <c r="AC12" s="727"/>
      <c r="AD12" s="727"/>
    </row>
    <row r="13" spans="1:32" s="280" customFormat="1" ht="45" customHeight="1" thickBot="1" x14ac:dyDescent="0.45">
      <c r="A13" s="708"/>
      <c r="B13" s="711"/>
      <c r="C13" s="614" t="s">
        <v>376</v>
      </c>
      <c r="D13" s="614" t="s">
        <v>373</v>
      </c>
      <c r="E13" s="614" t="s">
        <v>373</v>
      </c>
      <c r="F13" s="614" t="s">
        <v>587</v>
      </c>
      <c r="G13" s="614" t="s">
        <v>588</v>
      </c>
      <c r="H13" s="614"/>
      <c r="I13" s="614"/>
      <c r="J13" s="614"/>
      <c r="K13" s="615">
        <v>10</v>
      </c>
      <c r="L13" s="614"/>
      <c r="M13" s="614"/>
      <c r="N13" s="614"/>
      <c r="O13" s="614"/>
      <c r="P13" s="616"/>
      <c r="Q13" s="616" t="s">
        <v>612</v>
      </c>
      <c r="R13" s="621"/>
      <c r="S13" s="307"/>
      <c r="T13" s="410" t="s">
        <v>531</v>
      </c>
      <c r="U13" s="410" t="s">
        <v>532</v>
      </c>
      <c r="V13" s="410" t="s">
        <v>533</v>
      </c>
      <c r="W13" s="410" t="s">
        <v>534</v>
      </c>
      <c r="X13" s="410" t="s">
        <v>535</v>
      </c>
      <c r="Y13" s="410" t="s">
        <v>390</v>
      </c>
      <c r="Z13" s="281" t="s">
        <v>519</v>
      </c>
      <c r="AA13" s="281" t="s">
        <v>615</v>
      </c>
      <c r="AB13" s="281" t="s">
        <v>520</v>
      </c>
      <c r="AC13" s="281" t="s">
        <v>384</v>
      </c>
      <c r="AD13" s="407" t="s">
        <v>23</v>
      </c>
      <c r="AE13" s="613"/>
      <c r="AF13" s="613"/>
    </row>
    <row r="14" spans="1:32" s="483" customFormat="1" ht="45" customHeight="1" x14ac:dyDescent="0.4">
      <c r="A14" s="418">
        <f>DADOS!A9</f>
        <v>1</v>
      </c>
      <c r="B14" s="418" t="str">
        <f>DADOS!B9</f>
        <v>TV. BEIRA RIO</v>
      </c>
      <c r="C14" s="292">
        <v>0</v>
      </c>
      <c r="D14" s="290">
        <v>5</v>
      </c>
      <c r="E14" s="292">
        <f t="shared" ref="E14:E20" si="0">C14*D14</f>
        <v>0</v>
      </c>
      <c r="F14" s="292">
        <f t="shared" ref="F14:F20" si="1">0.48+0.5</f>
        <v>0.98</v>
      </c>
      <c r="G14" s="292">
        <f t="shared" ref="G14:G20" si="2">0.48+0.6</f>
        <v>1.08</v>
      </c>
      <c r="H14" s="292">
        <v>0.05</v>
      </c>
      <c r="I14" s="292">
        <f t="shared" ref="I14:I20" si="3">(E14*F14*G14)+(E14*G14*H14)</f>
        <v>0</v>
      </c>
      <c r="J14" s="290">
        <f t="shared" ref="J14:J20" si="4">N14</f>
        <v>0</v>
      </c>
      <c r="K14" s="290">
        <f t="shared" ref="K14:K20" si="5">J14*1.25*$K$13</f>
        <v>0</v>
      </c>
      <c r="L14" s="292">
        <f t="shared" ref="L14:L20" si="6">E14*F14</f>
        <v>0</v>
      </c>
      <c r="M14" s="290">
        <f t="shared" ref="M14:M20" si="7">L14</f>
        <v>0</v>
      </c>
      <c r="N14" s="292">
        <f t="shared" ref="N14:N20" si="8">(3.14*0.2^2)*E14</f>
        <v>0</v>
      </c>
      <c r="O14" s="292">
        <f t="shared" ref="O14:O20" si="9">(I14-N14)*70%</f>
        <v>0</v>
      </c>
      <c r="P14" s="292">
        <f t="shared" ref="P14:P20" si="10">(I14-N14)*30%</f>
        <v>0</v>
      </c>
      <c r="Q14" s="292">
        <f>E14*G14*2*0</f>
        <v>0</v>
      </c>
      <c r="R14" s="496">
        <f t="shared" ref="R14:R20" si="11">E14</f>
        <v>0</v>
      </c>
      <c r="S14" s="309"/>
      <c r="T14" s="291">
        <f>'ORÇAMENTO GERAL'!$J$28</f>
        <v>211.02</v>
      </c>
      <c r="U14" s="291">
        <f>'ORÇAMENTO GERAL'!$J$29</f>
        <v>14.63</v>
      </c>
      <c r="V14" s="291">
        <f>'ORÇAMENTO GERAL'!$J$30</f>
        <v>8.07</v>
      </c>
      <c r="W14" s="291">
        <f>'ORÇAMENTO GERAL'!$J$31</f>
        <v>3.54</v>
      </c>
      <c r="X14" s="291">
        <f>'ORÇAMENTO GERAL'!$J$32</f>
        <v>7.02</v>
      </c>
      <c r="Y14" s="291">
        <f>'ORÇAMENTO GERAL'!$J$33</f>
        <v>48.92</v>
      </c>
      <c r="Z14" s="291">
        <f>'ORÇAMENTO GERAL'!$J$34</f>
        <v>169.7</v>
      </c>
      <c r="AA14" s="291">
        <f>'ORÇAMENTO GERAL'!$J$35</f>
        <v>22.65</v>
      </c>
      <c r="AB14" s="291">
        <f>'ORÇAMENTO GERAL'!$J$36</f>
        <v>44.97</v>
      </c>
      <c r="AC14" s="291">
        <f>'ORÇAMENTO GERAL'!$J$37</f>
        <v>77.53</v>
      </c>
      <c r="AD14" s="291">
        <f>(E14*T14)+(I14*U14)+(J14*V14)+(K14*W14)+(L14*X14)+(M14*Y14)+(O14*Z14)+(P14*AA14)+(Q14*AB14)+(R14*AC14)</f>
        <v>0</v>
      </c>
      <c r="AE14" s="613"/>
      <c r="AF14" s="613"/>
    </row>
    <row r="15" spans="1:32" s="483" customFormat="1" ht="45" customHeight="1" x14ac:dyDescent="0.4">
      <c r="A15" s="418">
        <f>DADOS!A10</f>
        <v>2</v>
      </c>
      <c r="B15" s="418" t="str">
        <f>DADOS!B10</f>
        <v>RUA MOCAJATUBA</v>
      </c>
      <c r="C15" s="292">
        <v>7</v>
      </c>
      <c r="D15" s="290">
        <v>5</v>
      </c>
      <c r="E15" s="292">
        <f t="shared" si="0"/>
        <v>35</v>
      </c>
      <c r="F15" s="292">
        <f t="shared" si="1"/>
        <v>0.98</v>
      </c>
      <c r="G15" s="292">
        <f t="shared" si="2"/>
        <v>1.08</v>
      </c>
      <c r="H15" s="292">
        <v>0.05</v>
      </c>
      <c r="I15" s="292">
        <f t="shared" si="3"/>
        <v>38.93</v>
      </c>
      <c r="J15" s="290">
        <f t="shared" si="4"/>
        <v>4.4000000000000004</v>
      </c>
      <c r="K15" s="290">
        <f t="shared" si="5"/>
        <v>55</v>
      </c>
      <c r="L15" s="292">
        <f t="shared" si="6"/>
        <v>34.299999999999997</v>
      </c>
      <c r="M15" s="290">
        <f t="shared" si="7"/>
        <v>34.299999999999997</v>
      </c>
      <c r="N15" s="292">
        <f t="shared" si="8"/>
        <v>4.4000000000000004</v>
      </c>
      <c r="O15" s="292">
        <f t="shared" si="9"/>
        <v>24.17</v>
      </c>
      <c r="P15" s="292">
        <f t="shared" si="10"/>
        <v>10.36</v>
      </c>
      <c r="Q15" s="292">
        <f t="shared" ref="Q15:Q16" si="12">E15*G15*2*0</f>
        <v>0</v>
      </c>
      <c r="R15" s="496">
        <f t="shared" si="11"/>
        <v>35</v>
      </c>
      <c r="S15" s="309"/>
      <c r="T15" s="291">
        <f>'ORÇAMENTO GERAL'!$J$28</f>
        <v>211.02</v>
      </c>
      <c r="U15" s="291">
        <f>'ORÇAMENTO GERAL'!$J$29</f>
        <v>14.63</v>
      </c>
      <c r="V15" s="291">
        <f>'ORÇAMENTO GERAL'!$J$30</f>
        <v>8.07</v>
      </c>
      <c r="W15" s="291">
        <f>'ORÇAMENTO GERAL'!$J$31</f>
        <v>3.54</v>
      </c>
      <c r="X15" s="291">
        <f>'ORÇAMENTO GERAL'!$J$32</f>
        <v>7.02</v>
      </c>
      <c r="Y15" s="291">
        <f>'ORÇAMENTO GERAL'!$J$33</f>
        <v>48.92</v>
      </c>
      <c r="Z15" s="291">
        <f>'ORÇAMENTO GERAL'!$J$34</f>
        <v>169.7</v>
      </c>
      <c r="AA15" s="291">
        <f>'ORÇAMENTO GERAL'!$J$35</f>
        <v>22.65</v>
      </c>
      <c r="AB15" s="291">
        <f>'ORÇAMENTO GERAL'!$J$36</f>
        <v>44.97</v>
      </c>
      <c r="AC15" s="291">
        <f>'ORÇAMENTO GERAL'!$J$37</f>
        <v>77.53</v>
      </c>
      <c r="AD15" s="291">
        <f>(E15*T15)+(I15*U15)+(J15*V15)+(K15*W15)+(L15*X15)+(M15*Y15)+(O15*Z15)+(P15*AA15)+(Q15*AB15)+(R15*AC15)</f>
        <v>17154.05</v>
      </c>
      <c r="AE15" s="613"/>
      <c r="AF15" s="613"/>
    </row>
    <row r="16" spans="1:32" s="483" customFormat="1" ht="45" hidden="1" customHeight="1" x14ac:dyDescent="0.4">
      <c r="A16" s="418">
        <f>DADOS!A11</f>
        <v>0</v>
      </c>
      <c r="B16" s="418">
        <f>DADOS!B11</f>
        <v>0</v>
      </c>
      <c r="C16" s="292">
        <v>0</v>
      </c>
      <c r="D16" s="290">
        <v>5</v>
      </c>
      <c r="E16" s="292">
        <f t="shared" si="0"/>
        <v>0</v>
      </c>
      <c r="F16" s="292">
        <f t="shared" si="1"/>
        <v>0.98</v>
      </c>
      <c r="G16" s="292">
        <f t="shared" si="2"/>
        <v>1.08</v>
      </c>
      <c r="H16" s="292">
        <v>0.05</v>
      </c>
      <c r="I16" s="292">
        <f t="shared" si="3"/>
        <v>0</v>
      </c>
      <c r="J16" s="290">
        <f t="shared" si="4"/>
        <v>0</v>
      </c>
      <c r="K16" s="290">
        <f t="shared" si="5"/>
        <v>0</v>
      </c>
      <c r="L16" s="292">
        <f t="shared" si="6"/>
        <v>0</v>
      </c>
      <c r="M16" s="290">
        <f t="shared" si="7"/>
        <v>0</v>
      </c>
      <c r="N16" s="292">
        <f t="shared" si="8"/>
        <v>0</v>
      </c>
      <c r="O16" s="292">
        <f t="shared" si="9"/>
        <v>0</v>
      </c>
      <c r="P16" s="292">
        <f t="shared" si="10"/>
        <v>0</v>
      </c>
      <c r="Q16" s="292">
        <f t="shared" si="12"/>
        <v>0</v>
      </c>
      <c r="R16" s="496">
        <f t="shared" si="11"/>
        <v>0</v>
      </c>
      <c r="S16" s="309"/>
      <c r="T16" s="291">
        <f>'ORÇAMENTO GERAL'!$J$28</f>
        <v>211.02</v>
      </c>
      <c r="U16" s="291">
        <f>'ORÇAMENTO GERAL'!$J$29</f>
        <v>14.63</v>
      </c>
      <c r="V16" s="291">
        <f>'ORÇAMENTO GERAL'!$J$30</f>
        <v>8.07</v>
      </c>
      <c r="W16" s="291">
        <f>'ORÇAMENTO GERAL'!$J$31</f>
        <v>3.54</v>
      </c>
      <c r="X16" s="291">
        <f>'ORÇAMENTO GERAL'!$J$32</f>
        <v>7.02</v>
      </c>
      <c r="Y16" s="291">
        <f>'ORÇAMENTO GERAL'!$J$33</f>
        <v>48.92</v>
      </c>
      <c r="Z16" s="291">
        <f>'ORÇAMENTO GERAL'!$J$34</f>
        <v>169.7</v>
      </c>
      <c r="AA16" s="291">
        <f>'ORÇAMENTO GERAL'!$J$35</f>
        <v>22.65</v>
      </c>
      <c r="AB16" s="291">
        <f>'ORÇAMENTO GERAL'!$J$36</f>
        <v>44.97</v>
      </c>
      <c r="AC16" s="291">
        <f>'ORÇAMENTO GERAL'!$J$37</f>
        <v>77.53</v>
      </c>
      <c r="AD16" s="291">
        <f>(E16*T16)+(I16*U16)+(J16*V16)+(K16*W16)+(L16*X16)+(M16*Y16)+(O16*Z16)+(P16*AA16)+(Q16*AB16)+(R16*AC16)</f>
        <v>0</v>
      </c>
      <c r="AE16" s="613"/>
      <c r="AF16" s="613"/>
    </row>
    <row r="17" spans="1:32" s="483" customFormat="1" ht="45" hidden="1" customHeight="1" x14ac:dyDescent="0.4">
      <c r="A17" s="418">
        <f>DADOS!A12</f>
        <v>4</v>
      </c>
      <c r="B17" s="418">
        <f>DADOS!B12</f>
        <v>0</v>
      </c>
      <c r="C17" s="292"/>
      <c r="D17" s="290">
        <v>5</v>
      </c>
      <c r="E17" s="292">
        <f t="shared" si="0"/>
        <v>0</v>
      </c>
      <c r="F17" s="292">
        <f t="shared" si="1"/>
        <v>0.98</v>
      </c>
      <c r="G17" s="292">
        <f t="shared" si="2"/>
        <v>1.08</v>
      </c>
      <c r="H17" s="292">
        <v>0.05</v>
      </c>
      <c r="I17" s="292">
        <f t="shared" si="3"/>
        <v>0</v>
      </c>
      <c r="J17" s="290">
        <f t="shared" si="4"/>
        <v>0</v>
      </c>
      <c r="K17" s="290">
        <f t="shared" si="5"/>
        <v>0</v>
      </c>
      <c r="L17" s="292">
        <f t="shared" si="6"/>
        <v>0</v>
      </c>
      <c r="M17" s="290">
        <f t="shared" si="7"/>
        <v>0</v>
      </c>
      <c r="N17" s="292">
        <f t="shared" si="8"/>
        <v>0</v>
      </c>
      <c r="O17" s="292">
        <f t="shared" si="9"/>
        <v>0</v>
      </c>
      <c r="P17" s="292">
        <f t="shared" si="10"/>
        <v>0</v>
      </c>
      <c r="Q17" s="292">
        <f t="shared" ref="Q17:Q21" si="13">E17*G17*2</f>
        <v>0</v>
      </c>
      <c r="R17" s="496">
        <f t="shared" si="11"/>
        <v>0</v>
      </c>
      <c r="S17" s="309"/>
      <c r="T17" s="291">
        <f>'ORÇAMENTO GERAL'!$J$28</f>
        <v>211.02</v>
      </c>
      <c r="U17" s="291">
        <f>'ORÇAMENTO GERAL'!$J$29</f>
        <v>14.63</v>
      </c>
      <c r="V17" s="291">
        <f>'ORÇAMENTO GERAL'!$J$30</f>
        <v>8.07</v>
      </c>
      <c r="W17" s="291">
        <f>'ORÇAMENTO GERAL'!$J$31</f>
        <v>3.54</v>
      </c>
      <c r="X17" s="291">
        <f>'ORÇAMENTO GERAL'!$J$32</f>
        <v>7.02</v>
      </c>
      <c r="Y17" s="291">
        <f>'ORÇAMENTO GERAL'!$J$33</f>
        <v>48.92</v>
      </c>
      <c r="Z17" s="291">
        <f>'ORÇAMENTO GERAL'!$J$34</f>
        <v>169.7</v>
      </c>
      <c r="AA17" s="291">
        <f>'ORÇAMENTO GERAL'!$J$35</f>
        <v>22.65</v>
      </c>
      <c r="AB17" s="291">
        <f>'ORÇAMENTO GERAL'!$J$36</f>
        <v>44.97</v>
      </c>
      <c r="AC17" s="291">
        <f>'ORÇAMENTO GERAL'!$J$37</f>
        <v>77.53</v>
      </c>
      <c r="AD17" s="291">
        <f t="shared" ref="AD17:AD20" si="14">(E17*T17)+(I17*U17)+(J17*V17)+(K17*W17)+(L17*X17)+(M17*Y17)+(O17*Z17)+(P17*AA17)+(Q17*AB17)+(R17*AC17)</f>
        <v>0</v>
      </c>
      <c r="AE17" s="613"/>
      <c r="AF17" s="613"/>
    </row>
    <row r="18" spans="1:32" s="483" customFormat="1" ht="45" hidden="1" customHeight="1" x14ac:dyDescent="0.4">
      <c r="A18" s="418">
        <f>DADOS!A13</f>
        <v>5</v>
      </c>
      <c r="B18" s="418">
        <f>DADOS!B13</f>
        <v>0</v>
      </c>
      <c r="C18" s="292"/>
      <c r="D18" s="290">
        <v>5</v>
      </c>
      <c r="E18" s="292">
        <f t="shared" si="0"/>
        <v>0</v>
      </c>
      <c r="F18" s="292">
        <f t="shared" si="1"/>
        <v>0.98</v>
      </c>
      <c r="G18" s="292">
        <f t="shared" si="2"/>
        <v>1.08</v>
      </c>
      <c r="H18" s="292">
        <v>0.05</v>
      </c>
      <c r="I18" s="292">
        <f t="shared" si="3"/>
        <v>0</v>
      </c>
      <c r="J18" s="290">
        <f t="shared" si="4"/>
        <v>0</v>
      </c>
      <c r="K18" s="290">
        <f t="shared" si="5"/>
        <v>0</v>
      </c>
      <c r="L18" s="292">
        <f t="shared" si="6"/>
        <v>0</v>
      </c>
      <c r="M18" s="290">
        <f t="shared" si="7"/>
        <v>0</v>
      </c>
      <c r="N18" s="292">
        <f t="shared" si="8"/>
        <v>0</v>
      </c>
      <c r="O18" s="292">
        <f t="shared" si="9"/>
        <v>0</v>
      </c>
      <c r="P18" s="292">
        <f t="shared" si="10"/>
        <v>0</v>
      </c>
      <c r="Q18" s="292">
        <f>E18*G18*2*0</f>
        <v>0</v>
      </c>
      <c r="R18" s="496">
        <f t="shared" si="11"/>
        <v>0</v>
      </c>
      <c r="S18" s="309"/>
      <c r="T18" s="291">
        <f>'ORÇAMENTO GERAL'!$J$28</f>
        <v>211.02</v>
      </c>
      <c r="U18" s="291">
        <f>'ORÇAMENTO GERAL'!$J$29</f>
        <v>14.63</v>
      </c>
      <c r="V18" s="291">
        <f>'ORÇAMENTO GERAL'!$J$30</f>
        <v>8.07</v>
      </c>
      <c r="W18" s="291">
        <f>'ORÇAMENTO GERAL'!$J$31</f>
        <v>3.54</v>
      </c>
      <c r="X18" s="291">
        <f>'ORÇAMENTO GERAL'!$J$32</f>
        <v>7.02</v>
      </c>
      <c r="Y18" s="291">
        <f>'ORÇAMENTO GERAL'!$J$33</f>
        <v>48.92</v>
      </c>
      <c r="Z18" s="291">
        <f>'ORÇAMENTO GERAL'!$J$34</f>
        <v>169.7</v>
      </c>
      <c r="AA18" s="291">
        <f>'ORÇAMENTO GERAL'!$J$35</f>
        <v>22.65</v>
      </c>
      <c r="AB18" s="291">
        <f>'ORÇAMENTO GERAL'!$J$36</f>
        <v>44.97</v>
      </c>
      <c r="AC18" s="291">
        <f>'ORÇAMENTO GERAL'!$J$37</f>
        <v>77.53</v>
      </c>
      <c r="AD18" s="291">
        <f t="shared" si="14"/>
        <v>0</v>
      </c>
      <c r="AE18" s="613"/>
      <c r="AF18" s="613"/>
    </row>
    <row r="19" spans="1:32" s="483" customFormat="1" ht="45" hidden="1" customHeight="1" x14ac:dyDescent="0.4">
      <c r="A19" s="418">
        <f>DADOS!A14</f>
        <v>6</v>
      </c>
      <c r="B19" s="418">
        <f>DADOS!B14</f>
        <v>0</v>
      </c>
      <c r="C19" s="292"/>
      <c r="D19" s="290">
        <v>5</v>
      </c>
      <c r="E19" s="292">
        <f t="shared" si="0"/>
        <v>0</v>
      </c>
      <c r="F19" s="292">
        <f t="shared" si="1"/>
        <v>0.98</v>
      </c>
      <c r="G19" s="292">
        <f t="shared" si="2"/>
        <v>1.08</v>
      </c>
      <c r="H19" s="292">
        <v>0.05</v>
      </c>
      <c r="I19" s="292">
        <f t="shared" si="3"/>
        <v>0</v>
      </c>
      <c r="J19" s="290">
        <f t="shared" si="4"/>
        <v>0</v>
      </c>
      <c r="K19" s="290">
        <f t="shared" si="5"/>
        <v>0</v>
      </c>
      <c r="L19" s="292">
        <f t="shared" si="6"/>
        <v>0</v>
      </c>
      <c r="M19" s="290">
        <f t="shared" si="7"/>
        <v>0</v>
      </c>
      <c r="N19" s="292">
        <f t="shared" si="8"/>
        <v>0</v>
      </c>
      <c r="O19" s="292">
        <f t="shared" si="9"/>
        <v>0</v>
      </c>
      <c r="P19" s="292">
        <f t="shared" si="10"/>
        <v>0</v>
      </c>
      <c r="Q19" s="292">
        <f t="shared" si="13"/>
        <v>0</v>
      </c>
      <c r="R19" s="496">
        <f t="shared" si="11"/>
        <v>0</v>
      </c>
      <c r="S19" s="309"/>
      <c r="T19" s="291">
        <f>'ORÇAMENTO GERAL'!$J$28</f>
        <v>211.02</v>
      </c>
      <c r="U19" s="291">
        <f>'ORÇAMENTO GERAL'!$J$29</f>
        <v>14.63</v>
      </c>
      <c r="V19" s="291">
        <f>'ORÇAMENTO GERAL'!$J$30</f>
        <v>8.07</v>
      </c>
      <c r="W19" s="291">
        <f>'ORÇAMENTO GERAL'!$J$31</f>
        <v>3.54</v>
      </c>
      <c r="X19" s="291">
        <f>'ORÇAMENTO GERAL'!$J$32</f>
        <v>7.02</v>
      </c>
      <c r="Y19" s="291">
        <f>'ORÇAMENTO GERAL'!$J$33</f>
        <v>48.92</v>
      </c>
      <c r="Z19" s="291">
        <f>'ORÇAMENTO GERAL'!$J$34</f>
        <v>169.7</v>
      </c>
      <c r="AA19" s="291">
        <f>'ORÇAMENTO GERAL'!$J$35</f>
        <v>22.65</v>
      </c>
      <c r="AB19" s="291">
        <f>'ORÇAMENTO GERAL'!$J$36</f>
        <v>44.97</v>
      </c>
      <c r="AC19" s="291">
        <f>'ORÇAMENTO GERAL'!$J$37</f>
        <v>77.53</v>
      </c>
      <c r="AD19" s="291">
        <f t="shared" si="14"/>
        <v>0</v>
      </c>
      <c r="AE19" s="613"/>
      <c r="AF19" s="613"/>
    </row>
    <row r="20" spans="1:32" s="483" customFormat="1" ht="45" hidden="1" customHeight="1" x14ac:dyDescent="0.4">
      <c r="A20" s="418">
        <f>DADOS!A15</f>
        <v>7</v>
      </c>
      <c r="B20" s="418">
        <f>DADOS!B15</f>
        <v>0</v>
      </c>
      <c r="C20" s="292"/>
      <c r="D20" s="290">
        <v>5</v>
      </c>
      <c r="E20" s="292">
        <f t="shared" si="0"/>
        <v>0</v>
      </c>
      <c r="F20" s="292">
        <f t="shared" si="1"/>
        <v>0.98</v>
      </c>
      <c r="G20" s="292">
        <f t="shared" si="2"/>
        <v>1.08</v>
      </c>
      <c r="H20" s="292">
        <v>0.05</v>
      </c>
      <c r="I20" s="292">
        <f t="shared" si="3"/>
        <v>0</v>
      </c>
      <c r="J20" s="290">
        <f t="shared" si="4"/>
        <v>0</v>
      </c>
      <c r="K20" s="290">
        <f t="shared" si="5"/>
        <v>0</v>
      </c>
      <c r="L20" s="292">
        <f t="shared" si="6"/>
        <v>0</v>
      </c>
      <c r="M20" s="290">
        <f t="shared" si="7"/>
        <v>0</v>
      </c>
      <c r="N20" s="292">
        <f t="shared" si="8"/>
        <v>0</v>
      </c>
      <c r="O20" s="292">
        <f t="shared" si="9"/>
        <v>0</v>
      </c>
      <c r="P20" s="292">
        <f t="shared" si="10"/>
        <v>0</v>
      </c>
      <c r="Q20" s="292">
        <f t="shared" si="13"/>
        <v>0</v>
      </c>
      <c r="R20" s="496">
        <f t="shared" si="11"/>
        <v>0</v>
      </c>
      <c r="S20" s="309"/>
      <c r="T20" s="291">
        <f>'ORÇAMENTO GERAL'!$J$28</f>
        <v>211.02</v>
      </c>
      <c r="U20" s="291">
        <f>'ORÇAMENTO GERAL'!$J$29</f>
        <v>14.63</v>
      </c>
      <c r="V20" s="291">
        <f>'ORÇAMENTO GERAL'!$J$30</f>
        <v>8.07</v>
      </c>
      <c r="W20" s="291">
        <f>'ORÇAMENTO GERAL'!$J$31</f>
        <v>3.54</v>
      </c>
      <c r="X20" s="291">
        <f>'ORÇAMENTO GERAL'!$J$32</f>
        <v>7.02</v>
      </c>
      <c r="Y20" s="291">
        <f>'ORÇAMENTO GERAL'!$J$33</f>
        <v>48.92</v>
      </c>
      <c r="Z20" s="291">
        <f>'ORÇAMENTO GERAL'!$J$34</f>
        <v>169.7</v>
      </c>
      <c r="AA20" s="291">
        <f>'ORÇAMENTO GERAL'!$J$35</f>
        <v>22.65</v>
      </c>
      <c r="AB20" s="291">
        <f>'ORÇAMENTO GERAL'!$J$36</f>
        <v>44.97</v>
      </c>
      <c r="AC20" s="291">
        <f>'ORÇAMENTO GERAL'!$J$37</f>
        <v>77.53</v>
      </c>
      <c r="AD20" s="291">
        <f t="shared" si="14"/>
        <v>0</v>
      </c>
      <c r="AE20" s="613"/>
      <c r="AF20" s="613"/>
    </row>
    <row r="21" spans="1:32" s="483" customFormat="1" ht="45" hidden="1" customHeight="1" x14ac:dyDescent="0.4">
      <c r="A21" s="418">
        <f>DADOS!A16</f>
        <v>8</v>
      </c>
      <c r="B21" s="418">
        <f>DADOS!B16</f>
        <v>0</v>
      </c>
      <c r="C21" s="292"/>
      <c r="D21" s="290">
        <v>5</v>
      </c>
      <c r="E21" s="292">
        <f>C21*D21</f>
        <v>0</v>
      </c>
      <c r="F21" s="292">
        <f>0.48+0.5</f>
        <v>0.98</v>
      </c>
      <c r="G21" s="292">
        <f>0.48+0.6</f>
        <v>1.08</v>
      </c>
      <c r="H21" s="292">
        <v>0.05</v>
      </c>
      <c r="I21" s="292">
        <f>(E21*F21*G21)+(E21*G21*H21)</f>
        <v>0</v>
      </c>
      <c r="J21" s="290">
        <f>N21</f>
        <v>0</v>
      </c>
      <c r="K21" s="290">
        <f>J21*1.25*$K$13</f>
        <v>0</v>
      </c>
      <c r="L21" s="292">
        <f>E21*F21</f>
        <v>0</v>
      </c>
      <c r="M21" s="290">
        <f>L21</f>
        <v>0</v>
      </c>
      <c r="N21" s="292">
        <f>(3.14*0.2^2)*E21</f>
        <v>0</v>
      </c>
      <c r="O21" s="292">
        <f>(I21-N21)*70%</f>
        <v>0</v>
      </c>
      <c r="P21" s="292">
        <f>(I21-N21)*30%</f>
        <v>0</v>
      </c>
      <c r="Q21" s="292">
        <f t="shared" si="13"/>
        <v>0</v>
      </c>
      <c r="R21" s="496">
        <f>E21</f>
        <v>0</v>
      </c>
      <c r="S21" s="309"/>
      <c r="T21" s="291">
        <f>'ORÇAMENTO GERAL'!$J$28</f>
        <v>211.02</v>
      </c>
      <c r="U21" s="291">
        <f>'ORÇAMENTO GERAL'!$J$29</f>
        <v>14.63</v>
      </c>
      <c r="V21" s="291">
        <f>'ORÇAMENTO GERAL'!$J$30</f>
        <v>8.07</v>
      </c>
      <c r="W21" s="291">
        <f>'ORÇAMENTO GERAL'!$J$31</f>
        <v>3.54</v>
      </c>
      <c r="X21" s="291">
        <f>'ORÇAMENTO GERAL'!$J$32</f>
        <v>7.02</v>
      </c>
      <c r="Y21" s="291">
        <f>'ORÇAMENTO GERAL'!$J$33</f>
        <v>48.92</v>
      </c>
      <c r="Z21" s="291">
        <f>'ORÇAMENTO GERAL'!$J$34</f>
        <v>169.7</v>
      </c>
      <c r="AA21" s="291">
        <f>'ORÇAMENTO GERAL'!$J$35</f>
        <v>22.65</v>
      </c>
      <c r="AB21" s="291">
        <f>'ORÇAMENTO GERAL'!$J$36</f>
        <v>44.97</v>
      </c>
      <c r="AC21" s="291">
        <f>'ORÇAMENTO GERAL'!$J$37</f>
        <v>77.53</v>
      </c>
      <c r="AD21" s="291">
        <f>(E21*T21)+(I21*U21)+(J21*V21)+(K21*W21)+(L21*X21)+(M21*Y21)+(O21*Z21)+(P21*AA21)+(Q21*AB21)+(R21*AC21)</f>
        <v>0</v>
      </c>
      <c r="AE21" s="613"/>
      <c r="AF21" s="613"/>
    </row>
    <row r="22" spans="1:32" s="280" customFormat="1" ht="45" customHeight="1" thickBot="1" x14ac:dyDescent="0.45">
      <c r="A22" s="714" t="s">
        <v>23</v>
      </c>
      <c r="B22" s="715"/>
      <c r="C22" s="482">
        <f>SUM(C16:C19)</f>
        <v>0</v>
      </c>
      <c r="D22" s="482"/>
      <c r="E22" s="482">
        <f>SUM(E14:E21)</f>
        <v>35</v>
      </c>
      <c r="F22" s="482"/>
      <c r="G22" s="482"/>
      <c r="H22" s="482"/>
      <c r="I22" s="482">
        <f t="shared" ref="I22:R22" si="15">SUM(I14:I21)</f>
        <v>38.93</v>
      </c>
      <c r="J22" s="482">
        <f t="shared" si="15"/>
        <v>4.4000000000000004</v>
      </c>
      <c r="K22" s="482">
        <f t="shared" si="15"/>
        <v>55</v>
      </c>
      <c r="L22" s="482">
        <f t="shared" si="15"/>
        <v>34.299999999999997</v>
      </c>
      <c r="M22" s="482">
        <f t="shared" si="15"/>
        <v>34.299999999999997</v>
      </c>
      <c r="N22" s="482"/>
      <c r="O22" s="482">
        <f t="shared" si="15"/>
        <v>24.17</v>
      </c>
      <c r="P22" s="482">
        <f t="shared" si="15"/>
        <v>10.36</v>
      </c>
      <c r="Q22" s="482">
        <f t="shared" si="15"/>
        <v>0</v>
      </c>
      <c r="R22" s="482">
        <f t="shared" si="15"/>
        <v>35</v>
      </c>
      <c r="S22" s="308"/>
      <c r="AE22" s="613"/>
      <c r="AF22" s="613"/>
    </row>
    <row r="23" spans="1:32" s="297" customFormat="1" ht="45" customHeight="1" thickBot="1" x14ac:dyDescent="0.45">
      <c r="A23" s="294"/>
      <c r="B23" s="295"/>
      <c r="C23" s="295"/>
      <c r="D23" s="295"/>
      <c r="E23" s="295"/>
      <c r="F23" s="296"/>
      <c r="G23" s="295"/>
      <c r="H23" s="295"/>
      <c r="I23" s="295"/>
      <c r="J23" s="295"/>
      <c r="K23" s="280"/>
      <c r="L23" s="295"/>
      <c r="M23" s="295"/>
      <c r="N23" s="295"/>
      <c r="O23" s="295"/>
      <c r="P23" s="295"/>
      <c r="Q23" s="295"/>
      <c r="R23" s="280"/>
      <c r="S23" s="280"/>
    </row>
    <row r="24" spans="1:32" s="280" customFormat="1" ht="45" customHeight="1" thickBot="1" x14ac:dyDescent="0.45">
      <c r="A24" s="716" t="s">
        <v>386</v>
      </c>
      <c r="B24" s="717"/>
      <c r="C24" s="717"/>
      <c r="D24" s="717"/>
      <c r="E24" s="717"/>
      <c r="F24" s="717"/>
      <c r="G24" s="717"/>
      <c r="H24" s="717"/>
      <c r="I24" s="717"/>
      <c r="J24" s="717"/>
      <c r="K24" s="717"/>
      <c r="L24" s="717"/>
      <c r="M24" s="717"/>
      <c r="N24" s="717"/>
      <c r="O24" s="717"/>
      <c r="P24" s="717"/>
      <c r="Q24" s="717"/>
      <c r="R24" s="718"/>
      <c r="S24" s="306"/>
    </row>
    <row r="25" spans="1:32" s="280" customFormat="1" ht="45" customHeight="1" x14ac:dyDescent="0.4">
      <c r="A25" s="706" t="s">
        <v>7</v>
      </c>
      <c r="B25" s="709" t="s">
        <v>389</v>
      </c>
      <c r="C25" s="721" t="s">
        <v>394</v>
      </c>
      <c r="D25" s="721"/>
      <c r="E25" s="721"/>
      <c r="F25" s="712" t="s">
        <v>517</v>
      </c>
      <c r="G25" s="712"/>
      <c r="H25" s="712"/>
      <c r="I25" s="712"/>
      <c r="J25" s="712" t="s">
        <v>518</v>
      </c>
      <c r="K25" s="719" t="s">
        <v>521</v>
      </c>
      <c r="L25" s="712" t="s">
        <v>380</v>
      </c>
      <c r="M25" s="712" t="s">
        <v>383</v>
      </c>
      <c r="N25" s="703" t="s">
        <v>381</v>
      </c>
      <c r="O25" s="703" t="s">
        <v>519</v>
      </c>
      <c r="P25" s="703" t="s">
        <v>615</v>
      </c>
      <c r="Q25" s="703" t="s">
        <v>520</v>
      </c>
      <c r="R25" s="721" t="s">
        <v>384</v>
      </c>
      <c r="S25" s="306"/>
    </row>
    <row r="26" spans="1:32" s="280" customFormat="1" ht="45" customHeight="1" x14ac:dyDescent="0.4">
      <c r="A26" s="707"/>
      <c r="B26" s="710"/>
      <c r="C26" s="722"/>
      <c r="D26" s="722"/>
      <c r="E26" s="722"/>
      <c r="F26" s="713"/>
      <c r="G26" s="713"/>
      <c r="H26" s="713"/>
      <c r="I26" s="713"/>
      <c r="J26" s="713"/>
      <c r="K26" s="720"/>
      <c r="L26" s="713"/>
      <c r="M26" s="713"/>
      <c r="N26" s="704"/>
      <c r="O26" s="705"/>
      <c r="P26" s="705"/>
      <c r="Q26" s="704"/>
      <c r="R26" s="722"/>
      <c r="S26" s="306"/>
    </row>
    <row r="27" spans="1:32" s="280" customFormat="1" ht="45" customHeight="1" x14ac:dyDescent="0.4">
      <c r="A27" s="707"/>
      <c r="B27" s="710"/>
      <c r="C27" s="281" t="s">
        <v>155</v>
      </c>
      <c r="D27" s="410" t="s">
        <v>561</v>
      </c>
      <c r="E27" s="281" t="s">
        <v>378</v>
      </c>
      <c r="F27" s="281" t="s">
        <v>372</v>
      </c>
      <c r="G27" s="281" t="s">
        <v>377</v>
      </c>
      <c r="H27" s="281" t="s">
        <v>379</v>
      </c>
      <c r="I27" s="281" t="s">
        <v>23</v>
      </c>
      <c r="J27" s="713"/>
      <c r="K27" s="720"/>
      <c r="L27" s="713"/>
      <c r="M27" s="713"/>
      <c r="N27" s="705"/>
      <c r="O27" s="281" t="s">
        <v>23</v>
      </c>
      <c r="P27" s="281" t="s">
        <v>23</v>
      </c>
      <c r="Q27" s="705"/>
      <c r="R27" s="722"/>
      <c r="S27" s="306"/>
    </row>
    <row r="28" spans="1:32" s="280" customFormat="1" ht="45" customHeight="1" x14ac:dyDescent="0.4">
      <c r="A28" s="707"/>
      <c r="B28" s="710"/>
      <c r="C28" s="408"/>
      <c r="D28" s="408"/>
      <c r="E28" s="408" t="s">
        <v>52</v>
      </c>
      <c r="F28" s="408" t="s">
        <v>55</v>
      </c>
      <c r="G28" s="408" t="s">
        <v>15</v>
      </c>
      <c r="H28" s="408" t="s">
        <v>9</v>
      </c>
      <c r="I28" s="408" t="s">
        <v>382</v>
      </c>
      <c r="J28" s="462" t="s">
        <v>586</v>
      </c>
      <c r="K28" s="463" t="s">
        <v>522</v>
      </c>
      <c r="L28" s="462" t="s">
        <v>523</v>
      </c>
      <c r="M28" s="462" t="s">
        <v>524</v>
      </c>
      <c r="N28" s="462" t="s">
        <v>525</v>
      </c>
      <c r="O28" s="462" t="s">
        <v>618</v>
      </c>
      <c r="P28" s="462" t="s">
        <v>619</v>
      </c>
      <c r="Q28" s="462" t="s">
        <v>616</v>
      </c>
      <c r="R28" s="462" t="s">
        <v>617</v>
      </c>
      <c r="S28" s="306"/>
      <c r="T28" s="728" t="s">
        <v>536</v>
      </c>
      <c r="U28" s="729"/>
      <c r="V28" s="729"/>
      <c r="W28" s="729"/>
      <c r="X28" s="729"/>
      <c r="Y28" s="729"/>
      <c r="Z28" s="729"/>
      <c r="AA28" s="729"/>
      <c r="AB28" s="729"/>
      <c r="AC28" s="729"/>
      <c r="AD28" s="730"/>
    </row>
    <row r="29" spans="1:32" s="280" customFormat="1" ht="45" customHeight="1" thickBot="1" x14ac:dyDescent="0.45">
      <c r="A29" s="708"/>
      <c r="B29" s="711"/>
      <c r="C29" s="283" t="s">
        <v>376</v>
      </c>
      <c r="D29" s="283" t="s">
        <v>373</v>
      </c>
      <c r="E29" s="283" t="s">
        <v>373</v>
      </c>
      <c r="F29" s="283" t="s">
        <v>587</v>
      </c>
      <c r="G29" s="283" t="s">
        <v>588</v>
      </c>
      <c r="H29" s="283"/>
      <c r="I29" s="283"/>
      <c r="J29" s="283"/>
      <c r="K29" s="310">
        <v>10</v>
      </c>
      <c r="L29" s="283"/>
      <c r="M29" s="283"/>
      <c r="N29" s="283"/>
      <c r="O29" s="283"/>
      <c r="P29" s="460"/>
      <c r="Q29" s="460" t="s">
        <v>612</v>
      </c>
      <c r="R29" s="495"/>
      <c r="S29" s="307"/>
      <c r="T29" s="410" t="s">
        <v>531</v>
      </c>
      <c r="U29" s="410" t="s">
        <v>532</v>
      </c>
      <c r="V29" s="410" t="s">
        <v>533</v>
      </c>
      <c r="W29" s="410" t="s">
        <v>534</v>
      </c>
      <c r="X29" s="410" t="s">
        <v>535</v>
      </c>
      <c r="Y29" s="410" t="s">
        <v>390</v>
      </c>
      <c r="Z29" s="281" t="s">
        <v>519</v>
      </c>
      <c r="AA29" s="281" t="s">
        <v>615</v>
      </c>
      <c r="AB29" s="281" t="s">
        <v>520</v>
      </c>
      <c r="AC29" s="281" t="s">
        <v>384</v>
      </c>
      <c r="AD29" s="407" t="s">
        <v>23</v>
      </c>
    </row>
    <row r="30" spans="1:32" s="613" customFormat="1" ht="45" customHeight="1" x14ac:dyDescent="0.4">
      <c r="A30" s="622">
        <f>A14</f>
        <v>1</v>
      </c>
      <c r="B30" s="593" t="str">
        <f>B14</f>
        <v>TV. BEIRA RIO</v>
      </c>
      <c r="C30" s="292">
        <v>1</v>
      </c>
      <c r="D30" s="286">
        <v>0</v>
      </c>
      <c r="E30" s="292">
        <f t="shared" ref="E30:E36" si="16">C30*D30</f>
        <v>0</v>
      </c>
      <c r="F30" s="292">
        <f t="shared" ref="F30:F36" si="17">0.72+0.5</f>
        <v>1.22</v>
      </c>
      <c r="G30" s="292">
        <v>1.32</v>
      </c>
      <c r="H30" s="292">
        <v>0.05</v>
      </c>
      <c r="I30" s="292">
        <f t="shared" ref="I30:I36" si="18">(E30*F30*G30)+(E30*G30*H30)</f>
        <v>0</v>
      </c>
      <c r="J30" s="290">
        <f t="shared" ref="J30:J36" si="19">N30</f>
        <v>0</v>
      </c>
      <c r="K30" s="290">
        <f t="shared" ref="K30:K36" si="20">J30*1.25*$K$13</f>
        <v>0</v>
      </c>
      <c r="L30" s="292">
        <f t="shared" ref="L30:L36" si="21">E30*F30</f>
        <v>0</v>
      </c>
      <c r="M30" s="290">
        <f t="shared" ref="M30:M36" si="22">L30</f>
        <v>0</v>
      </c>
      <c r="N30" s="292">
        <f t="shared" ref="N30:N36" si="23">(3.14*0.3^2)*E30</f>
        <v>0</v>
      </c>
      <c r="O30" s="292">
        <f t="shared" ref="O30:O36" si="24">(I30-N30)*70%</f>
        <v>0</v>
      </c>
      <c r="P30" s="292">
        <f t="shared" ref="P30:P36" si="25">(I30-N30)*30%</f>
        <v>0</v>
      </c>
      <c r="Q30" s="292">
        <f>E30*G30*2*0</f>
        <v>0</v>
      </c>
      <c r="R30" s="496">
        <f t="shared" ref="R30:R36" si="26">E30</f>
        <v>0</v>
      </c>
      <c r="S30" s="309"/>
      <c r="T30" s="624">
        <f>'ORÇAMENTO GERAL'!$J$38</f>
        <v>350.11</v>
      </c>
      <c r="U30" s="624">
        <f>'ORÇAMENTO GERAL'!$J$39</f>
        <v>14.63</v>
      </c>
      <c r="V30" s="624">
        <f>'ORÇAMENTO GERAL'!$J$40</f>
        <v>8.07</v>
      </c>
      <c r="W30" s="624">
        <f>'ORÇAMENTO GERAL'!$J$41</f>
        <v>3.54</v>
      </c>
      <c r="X30" s="624">
        <f>'ORÇAMENTO GERAL'!$J$42</f>
        <v>7.02</v>
      </c>
      <c r="Y30" s="624">
        <f>'ORÇAMENTO GERAL'!$J$43</f>
        <v>48.92</v>
      </c>
      <c r="Z30" s="624">
        <f>'ORÇAMENTO GERAL'!$J$44</f>
        <v>169.7</v>
      </c>
      <c r="AA30" s="624">
        <f>'ORÇAMENTO GERAL'!$J$45</f>
        <v>22.65</v>
      </c>
      <c r="AB30" s="624">
        <f>'ORÇAMENTO GERAL'!$J$46</f>
        <v>44.97</v>
      </c>
      <c r="AC30" s="624">
        <f>'ORÇAMENTO GERAL'!$J$47</f>
        <v>112.88</v>
      </c>
      <c r="AD30" s="291">
        <f t="shared" ref="AD30:AD36" si="27">(E30*T30)+(I30*U30)+(J30*V30)+(K30*W30)+(L30*X30)+(M30*Y30)+(O30*Z30)+(P30*AA30)+(Q30*AB30)+(R30*AC30)</f>
        <v>0</v>
      </c>
    </row>
    <row r="31" spans="1:32" s="613" customFormat="1" ht="45" customHeight="1" x14ac:dyDescent="0.4">
      <c r="A31" s="622">
        <f t="shared" ref="A31:B37" si="28">A15</f>
        <v>2</v>
      </c>
      <c r="B31" s="418" t="str">
        <f t="shared" si="28"/>
        <v>RUA MOCAJATUBA</v>
      </c>
      <c r="C31" s="292">
        <v>1</v>
      </c>
      <c r="D31" s="290">
        <v>275</v>
      </c>
      <c r="E31" s="292">
        <f t="shared" si="16"/>
        <v>275</v>
      </c>
      <c r="F31" s="292">
        <f t="shared" si="17"/>
        <v>1.22</v>
      </c>
      <c r="G31" s="292">
        <v>1.32</v>
      </c>
      <c r="H31" s="292">
        <v>0.05</v>
      </c>
      <c r="I31" s="292">
        <f t="shared" si="18"/>
        <v>461.01</v>
      </c>
      <c r="J31" s="290">
        <f t="shared" si="19"/>
        <v>77.72</v>
      </c>
      <c r="K31" s="290">
        <f t="shared" si="20"/>
        <v>971.5</v>
      </c>
      <c r="L31" s="292">
        <f t="shared" si="21"/>
        <v>335.5</v>
      </c>
      <c r="M31" s="290">
        <f t="shared" si="22"/>
        <v>335.5</v>
      </c>
      <c r="N31" s="292">
        <f t="shared" si="23"/>
        <v>77.72</v>
      </c>
      <c r="O31" s="292">
        <f t="shared" si="24"/>
        <v>268.3</v>
      </c>
      <c r="P31" s="292">
        <f t="shared" si="25"/>
        <v>114.99</v>
      </c>
      <c r="Q31" s="292">
        <f t="shared" ref="Q31:Q37" si="29">E31*G31*2*0</f>
        <v>0</v>
      </c>
      <c r="R31" s="496">
        <f t="shared" si="26"/>
        <v>275</v>
      </c>
      <c r="S31" s="309"/>
      <c r="T31" s="624">
        <f>'ORÇAMENTO GERAL'!$J$38</f>
        <v>350.11</v>
      </c>
      <c r="U31" s="624">
        <f>'ORÇAMENTO GERAL'!$J$39</f>
        <v>14.63</v>
      </c>
      <c r="V31" s="624">
        <f>'ORÇAMENTO GERAL'!$J$40</f>
        <v>8.07</v>
      </c>
      <c r="W31" s="624">
        <f>'ORÇAMENTO GERAL'!$J$41</f>
        <v>3.54</v>
      </c>
      <c r="X31" s="624">
        <f>'ORÇAMENTO GERAL'!$J$42</f>
        <v>7.02</v>
      </c>
      <c r="Y31" s="624">
        <f>'ORÇAMENTO GERAL'!$J$43</f>
        <v>48.92</v>
      </c>
      <c r="Z31" s="624">
        <f>'ORÇAMENTO GERAL'!$J$44</f>
        <v>169.7</v>
      </c>
      <c r="AA31" s="624">
        <f>'ORÇAMENTO GERAL'!$J$45</f>
        <v>22.65</v>
      </c>
      <c r="AB31" s="624">
        <f>'ORÇAMENTO GERAL'!$J$46</f>
        <v>44.97</v>
      </c>
      <c r="AC31" s="624">
        <f>'ORÇAMENTO GERAL'!$J$47</f>
        <v>112.88</v>
      </c>
      <c r="AD31" s="291">
        <f t="shared" si="27"/>
        <v>205036.04</v>
      </c>
    </row>
    <row r="32" spans="1:32" s="613" customFormat="1" ht="45" hidden="1" customHeight="1" x14ac:dyDescent="0.4">
      <c r="A32" s="622">
        <f t="shared" si="28"/>
        <v>0</v>
      </c>
      <c r="B32" s="593">
        <f t="shared" si="28"/>
        <v>0</v>
      </c>
      <c r="C32" s="292">
        <v>1</v>
      </c>
      <c r="D32" s="623">
        <v>0</v>
      </c>
      <c r="E32" s="292">
        <f t="shared" si="16"/>
        <v>0</v>
      </c>
      <c r="F32" s="292">
        <f t="shared" si="17"/>
        <v>1.22</v>
      </c>
      <c r="G32" s="292">
        <v>1.32</v>
      </c>
      <c r="H32" s="292">
        <v>0.05</v>
      </c>
      <c r="I32" s="292">
        <f t="shared" si="18"/>
        <v>0</v>
      </c>
      <c r="J32" s="290">
        <f t="shared" si="19"/>
        <v>0</v>
      </c>
      <c r="K32" s="290">
        <f t="shared" si="20"/>
        <v>0</v>
      </c>
      <c r="L32" s="292">
        <f t="shared" si="21"/>
        <v>0</v>
      </c>
      <c r="M32" s="290">
        <f t="shared" si="22"/>
        <v>0</v>
      </c>
      <c r="N32" s="292">
        <f t="shared" si="23"/>
        <v>0</v>
      </c>
      <c r="O32" s="292">
        <f t="shared" si="24"/>
        <v>0</v>
      </c>
      <c r="P32" s="292">
        <f t="shared" si="25"/>
        <v>0</v>
      </c>
      <c r="Q32" s="292">
        <f t="shared" si="29"/>
        <v>0</v>
      </c>
      <c r="R32" s="496">
        <f t="shared" si="26"/>
        <v>0</v>
      </c>
      <c r="S32" s="309"/>
      <c r="T32" s="624">
        <f>'ORÇAMENTO GERAL'!$J$38</f>
        <v>350.11</v>
      </c>
      <c r="U32" s="624">
        <f>'ORÇAMENTO GERAL'!$J$39</f>
        <v>14.63</v>
      </c>
      <c r="V32" s="624">
        <f>'ORÇAMENTO GERAL'!$J$40</f>
        <v>8.07</v>
      </c>
      <c r="W32" s="624">
        <f>'ORÇAMENTO GERAL'!$J$41</f>
        <v>3.54</v>
      </c>
      <c r="X32" s="624">
        <f>'ORÇAMENTO GERAL'!$J$42</f>
        <v>7.02</v>
      </c>
      <c r="Y32" s="624">
        <f>'ORÇAMENTO GERAL'!$J$43</f>
        <v>48.92</v>
      </c>
      <c r="Z32" s="624">
        <f>'ORÇAMENTO GERAL'!$J$44</f>
        <v>169.7</v>
      </c>
      <c r="AA32" s="624">
        <f>'ORÇAMENTO GERAL'!$J$45</f>
        <v>22.65</v>
      </c>
      <c r="AB32" s="624">
        <f>'ORÇAMENTO GERAL'!$J$46</f>
        <v>44.97</v>
      </c>
      <c r="AC32" s="624">
        <f>'ORÇAMENTO GERAL'!$J$47</f>
        <v>112.88</v>
      </c>
      <c r="AD32" s="291">
        <f t="shared" si="27"/>
        <v>0</v>
      </c>
    </row>
    <row r="33" spans="1:30" s="613" customFormat="1" ht="45" hidden="1" customHeight="1" x14ac:dyDescent="0.4">
      <c r="A33" s="622">
        <f t="shared" si="28"/>
        <v>4</v>
      </c>
      <c r="B33" s="593">
        <f t="shared" si="28"/>
        <v>0</v>
      </c>
      <c r="C33" s="292">
        <v>1</v>
      </c>
      <c r="D33" s="623"/>
      <c r="E33" s="292">
        <f t="shared" si="16"/>
        <v>0</v>
      </c>
      <c r="F33" s="292">
        <f t="shared" si="17"/>
        <v>1.22</v>
      </c>
      <c r="G33" s="292">
        <v>1.32</v>
      </c>
      <c r="H33" s="292">
        <v>0.05</v>
      </c>
      <c r="I33" s="292">
        <f t="shared" si="18"/>
        <v>0</v>
      </c>
      <c r="J33" s="290">
        <f t="shared" si="19"/>
        <v>0</v>
      </c>
      <c r="K33" s="290">
        <f t="shared" si="20"/>
        <v>0</v>
      </c>
      <c r="L33" s="292">
        <f t="shared" si="21"/>
        <v>0</v>
      </c>
      <c r="M33" s="290">
        <f t="shared" si="22"/>
        <v>0</v>
      </c>
      <c r="N33" s="292">
        <f t="shared" si="23"/>
        <v>0</v>
      </c>
      <c r="O33" s="292">
        <f t="shared" si="24"/>
        <v>0</v>
      </c>
      <c r="P33" s="292">
        <f t="shared" si="25"/>
        <v>0</v>
      </c>
      <c r="Q33" s="292">
        <f t="shared" si="29"/>
        <v>0</v>
      </c>
      <c r="R33" s="496">
        <f t="shared" si="26"/>
        <v>0</v>
      </c>
      <c r="S33" s="309"/>
      <c r="T33" s="624">
        <f>'ORÇAMENTO GERAL'!$J$38</f>
        <v>350.11</v>
      </c>
      <c r="U33" s="624">
        <f>'ORÇAMENTO GERAL'!$J$39</f>
        <v>14.63</v>
      </c>
      <c r="V33" s="624">
        <f>'ORÇAMENTO GERAL'!$J$40</f>
        <v>8.07</v>
      </c>
      <c r="W33" s="624">
        <f>'ORÇAMENTO GERAL'!$J$41</f>
        <v>3.54</v>
      </c>
      <c r="X33" s="624">
        <f>'ORÇAMENTO GERAL'!$J$42</f>
        <v>7.02</v>
      </c>
      <c r="Y33" s="624">
        <f>'ORÇAMENTO GERAL'!$J$43</f>
        <v>48.92</v>
      </c>
      <c r="Z33" s="624">
        <f>'ORÇAMENTO GERAL'!$J$44</f>
        <v>169.7</v>
      </c>
      <c r="AA33" s="624">
        <f>'ORÇAMENTO GERAL'!$J$45</f>
        <v>22.65</v>
      </c>
      <c r="AB33" s="624">
        <f>'ORÇAMENTO GERAL'!$J$46</f>
        <v>44.97</v>
      </c>
      <c r="AC33" s="624">
        <f>'ORÇAMENTO GERAL'!$J$47</f>
        <v>112.88</v>
      </c>
      <c r="AD33" s="291">
        <f t="shared" si="27"/>
        <v>0</v>
      </c>
    </row>
    <row r="34" spans="1:30" s="613" customFormat="1" ht="45" hidden="1" customHeight="1" x14ac:dyDescent="0.4">
      <c r="A34" s="622">
        <f t="shared" si="28"/>
        <v>5</v>
      </c>
      <c r="B34" s="593">
        <f t="shared" si="28"/>
        <v>0</v>
      </c>
      <c r="C34" s="292">
        <v>1</v>
      </c>
      <c r="D34" s="623"/>
      <c r="E34" s="292">
        <f t="shared" si="16"/>
        <v>0</v>
      </c>
      <c r="F34" s="292">
        <f t="shared" si="17"/>
        <v>1.22</v>
      </c>
      <c r="G34" s="292">
        <v>1.32</v>
      </c>
      <c r="H34" s="292">
        <v>0.05</v>
      </c>
      <c r="I34" s="292">
        <f t="shared" si="18"/>
        <v>0</v>
      </c>
      <c r="J34" s="290">
        <f t="shared" si="19"/>
        <v>0</v>
      </c>
      <c r="K34" s="290">
        <f t="shared" si="20"/>
        <v>0</v>
      </c>
      <c r="L34" s="292">
        <f t="shared" si="21"/>
        <v>0</v>
      </c>
      <c r="M34" s="290">
        <f t="shared" si="22"/>
        <v>0</v>
      </c>
      <c r="N34" s="292">
        <f t="shared" si="23"/>
        <v>0</v>
      </c>
      <c r="O34" s="292">
        <f t="shared" si="24"/>
        <v>0</v>
      </c>
      <c r="P34" s="292">
        <f t="shared" si="25"/>
        <v>0</v>
      </c>
      <c r="Q34" s="292">
        <f t="shared" si="29"/>
        <v>0</v>
      </c>
      <c r="R34" s="496">
        <f t="shared" si="26"/>
        <v>0</v>
      </c>
      <c r="S34" s="309"/>
      <c r="T34" s="624">
        <f>'ORÇAMENTO GERAL'!$J$38</f>
        <v>350.11</v>
      </c>
      <c r="U34" s="624">
        <f>'ORÇAMENTO GERAL'!$J$39</f>
        <v>14.63</v>
      </c>
      <c r="V34" s="624">
        <f>'ORÇAMENTO GERAL'!$J$40</f>
        <v>8.07</v>
      </c>
      <c r="W34" s="624">
        <f>'ORÇAMENTO GERAL'!$J$41</f>
        <v>3.54</v>
      </c>
      <c r="X34" s="624">
        <f>'ORÇAMENTO GERAL'!$J$42</f>
        <v>7.02</v>
      </c>
      <c r="Y34" s="624">
        <f>'ORÇAMENTO GERAL'!$J$43</f>
        <v>48.92</v>
      </c>
      <c r="Z34" s="624">
        <f>'ORÇAMENTO GERAL'!$J$44</f>
        <v>169.7</v>
      </c>
      <c r="AA34" s="624">
        <f>'ORÇAMENTO GERAL'!$J$45</f>
        <v>22.65</v>
      </c>
      <c r="AB34" s="624">
        <f>'ORÇAMENTO GERAL'!$J$46</f>
        <v>44.97</v>
      </c>
      <c r="AC34" s="624">
        <f>'ORÇAMENTO GERAL'!$J$47</f>
        <v>112.88</v>
      </c>
      <c r="AD34" s="291">
        <f t="shared" si="27"/>
        <v>0</v>
      </c>
    </row>
    <row r="35" spans="1:30" s="613" customFormat="1" ht="45" hidden="1" customHeight="1" x14ac:dyDescent="0.4">
      <c r="A35" s="418">
        <f t="shared" si="28"/>
        <v>6</v>
      </c>
      <c r="B35" s="418">
        <f t="shared" si="28"/>
        <v>0</v>
      </c>
      <c r="C35" s="292">
        <v>1</v>
      </c>
      <c r="D35" s="290"/>
      <c r="E35" s="292">
        <f t="shared" si="16"/>
        <v>0</v>
      </c>
      <c r="F35" s="292">
        <f t="shared" si="17"/>
        <v>1.22</v>
      </c>
      <c r="G35" s="292">
        <v>1.32</v>
      </c>
      <c r="H35" s="292">
        <v>0.05</v>
      </c>
      <c r="I35" s="292">
        <f t="shared" si="18"/>
        <v>0</v>
      </c>
      <c r="J35" s="290">
        <f t="shared" si="19"/>
        <v>0</v>
      </c>
      <c r="K35" s="290">
        <f t="shared" si="20"/>
        <v>0</v>
      </c>
      <c r="L35" s="292">
        <f t="shared" si="21"/>
        <v>0</v>
      </c>
      <c r="M35" s="290">
        <f t="shared" si="22"/>
        <v>0</v>
      </c>
      <c r="N35" s="292">
        <f t="shared" si="23"/>
        <v>0</v>
      </c>
      <c r="O35" s="292">
        <f t="shared" si="24"/>
        <v>0</v>
      </c>
      <c r="P35" s="292">
        <f t="shared" si="25"/>
        <v>0</v>
      </c>
      <c r="Q35" s="292">
        <f t="shared" si="29"/>
        <v>0</v>
      </c>
      <c r="R35" s="496">
        <f t="shared" si="26"/>
        <v>0</v>
      </c>
      <c r="S35" s="309"/>
      <c r="T35" s="624">
        <f>'ORÇAMENTO GERAL'!$J$38</f>
        <v>350.11</v>
      </c>
      <c r="U35" s="624">
        <f>'ORÇAMENTO GERAL'!$J$39</f>
        <v>14.63</v>
      </c>
      <c r="V35" s="624">
        <f>'ORÇAMENTO GERAL'!$J$40</f>
        <v>8.07</v>
      </c>
      <c r="W35" s="624">
        <f>'ORÇAMENTO GERAL'!$J$41</f>
        <v>3.54</v>
      </c>
      <c r="X35" s="624">
        <f>'ORÇAMENTO GERAL'!$J$42</f>
        <v>7.02</v>
      </c>
      <c r="Y35" s="624">
        <f>'ORÇAMENTO GERAL'!$J$43</f>
        <v>48.92</v>
      </c>
      <c r="Z35" s="624">
        <f>'ORÇAMENTO GERAL'!$J$44</f>
        <v>169.7</v>
      </c>
      <c r="AA35" s="624">
        <f>'ORÇAMENTO GERAL'!$J$45</f>
        <v>22.65</v>
      </c>
      <c r="AB35" s="624">
        <f>'ORÇAMENTO GERAL'!$J$46</f>
        <v>44.97</v>
      </c>
      <c r="AC35" s="624">
        <f>'ORÇAMENTO GERAL'!$J$47</f>
        <v>112.88</v>
      </c>
      <c r="AD35" s="291">
        <f t="shared" si="27"/>
        <v>0</v>
      </c>
    </row>
    <row r="36" spans="1:30" s="613" customFormat="1" ht="45" hidden="1" customHeight="1" x14ac:dyDescent="0.4">
      <c r="A36" s="622">
        <f t="shared" si="28"/>
        <v>7</v>
      </c>
      <c r="B36" s="593">
        <f t="shared" si="28"/>
        <v>0</v>
      </c>
      <c r="C36" s="292">
        <v>1</v>
      </c>
      <c r="D36" s="623"/>
      <c r="E36" s="292">
        <f t="shared" si="16"/>
        <v>0</v>
      </c>
      <c r="F36" s="292">
        <f t="shared" si="17"/>
        <v>1.22</v>
      </c>
      <c r="G36" s="292">
        <v>1.32</v>
      </c>
      <c r="H36" s="292">
        <v>0.05</v>
      </c>
      <c r="I36" s="292">
        <f t="shared" si="18"/>
        <v>0</v>
      </c>
      <c r="J36" s="290">
        <f t="shared" si="19"/>
        <v>0</v>
      </c>
      <c r="K36" s="290">
        <f t="shared" si="20"/>
        <v>0</v>
      </c>
      <c r="L36" s="292">
        <f t="shared" si="21"/>
        <v>0</v>
      </c>
      <c r="M36" s="290">
        <f t="shared" si="22"/>
        <v>0</v>
      </c>
      <c r="N36" s="292">
        <f t="shared" si="23"/>
        <v>0</v>
      </c>
      <c r="O36" s="292">
        <f t="shared" si="24"/>
        <v>0</v>
      </c>
      <c r="P36" s="292">
        <f t="shared" si="25"/>
        <v>0</v>
      </c>
      <c r="Q36" s="292">
        <f t="shared" si="29"/>
        <v>0</v>
      </c>
      <c r="R36" s="496">
        <f t="shared" si="26"/>
        <v>0</v>
      </c>
      <c r="S36" s="309"/>
      <c r="T36" s="624">
        <f>'ORÇAMENTO GERAL'!$J$38</f>
        <v>350.11</v>
      </c>
      <c r="U36" s="624">
        <f>'ORÇAMENTO GERAL'!$J$39</f>
        <v>14.63</v>
      </c>
      <c r="V36" s="624">
        <f>'ORÇAMENTO GERAL'!$J$40</f>
        <v>8.07</v>
      </c>
      <c r="W36" s="624">
        <f>'ORÇAMENTO GERAL'!$J$41</f>
        <v>3.54</v>
      </c>
      <c r="X36" s="624">
        <f>'ORÇAMENTO GERAL'!$J$42</f>
        <v>7.02</v>
      </c>
      <c r="Y36" s="624">
        <f>'ORÇAMENTO GERAL'!$J$43</f>
        <v>48.92</v>
      </c>
      <c r="Z36" s="624">
        <f>'ORÇAMENTO GERAL'!$J$44</f>
        <v>169.7</v>
      </c>
      <c r="AA36" s="624">
        <f>'ORÇAMENTO GERAL'!$J$45</f>
        <v>22.65</v>
      </c>
      <c r="AB36" s="624">
        <f>'ORÇAMENTO GERAL'!$J$46</f>
        <v>44.97</v>
      </c>
      <c r="AC36" s="624">
        <f>'ORÇAMENTO GERAL'!$J$47</f>
        <v>112.88</v>
      </c>
      <c r="AD36" s="291">
        <f t="shared" si="27"/>
        <v>0</v>
      </c>
    </row>
    <row r="37" spans="1:30" s="483" customFormat="1" ht="45" hidden="1" customHeight="1" x14ac:dyDescent="0.4">
      <c r="A37" s="418">
        <f t="shared" si="28"/>
        <v>8</v>
      </c>
      <c r="B37" s="418">
        <f t="shared" si="28"/>
        <v>0</v>
      </c>
      <c r="C37" s="292">
        <v>1</v>
      </c>
      <c r="D37" s="290"/>
      <c r="E37" s="292">
        <f>C37*D37</f>
        <v>0</v>
      </c>
      <c r="F37" s="292">
        <f>0.72+0.5</f>
        <v>1.22</v>
      </c>
      <c r="G37" s="292">
        <v>1.32</v>
      </c>
      <c r="H37" s="292">
        <v>0.05</v>
      </c>
      <c r="I37" s="292">
        <f>(E37*F37*G37)+(E37*G37*H37)</f>
        <v>0</v>
      </c>
      <c r="J37" s="290">
        <f>N37</f>
        <v>0</v>
      </c>
      <c r="K37" s="290">
        <f>J37*1.25*$K$13</f>
        <v>0</v>
      </c>
      <c r="L37" s="292">
        <f>E37*F37</f>
        <v>0</v>
      </c>
      <c r="M37" s="290">
        <f>L37</f>
        <v>0</v>
      </c>
      <c r="N37" s="292">
        <f>(3.14*0.3^2)*E37</f>
        <v>0</v>
      </c>
      <c r="O37" s="292">
        <f>(I37-N37)*70%</f>
        <v>0</v>
      </c>
      <c r="P37" s="292">
        <f>(I37-N37)*30%</f>
        <v>0</v>
      </c>
      <c r="Q37" s="292">
        <f t="shared" si="29"/>
        <v>0</v>
      </c>
      <c r="R37" s="496">
        <f>E37</f>
        <v>0</v>
      </c>
      <c r="S37" s="309"/>
      <c r="T37" s="624">
        <f>'ORÇAMENTO GERAL'!$J$38</f>
        <v>350.11</v>
      </c>
      <c r="U37" s="624">
        <f>'ORÇAMENTO GERAL'!$J$39</f>
        <v>14.63</v>
      </c>
      <c r="V37" s="624">
        <f>'ORÇAMENTO GERAL'!$J$40</f>
        <v>8.07</v>
      </c>
      <c r="W37" s="624">
        <f>'ORÇAMENTO GERAL'!$J$41</f>
        <v>3.54</v>
      </c>
      <c r="X37" s="624">
        <f>'ORÇAMENTO GERAL'!$J$42</f>
        <v>7.02</v>
      </c>
      <c r="Y37" s="624">
        <f>'ORÇAMENTO GERAL'!$J$43</f>
        <v>48.92</v>
      </c>
      <c r="Z37" s="624">
        <f>'ORÇAMENTO GERAL'!$J$44</f>
        <v>169.7</v>
      </c>
      <c r="AA37" s="624">
        <f>'ORÇAMENTO GERAL'!$J$45</f>
        <v>22.65</v>
      </c>
      <c r="AB37" s="624">
        <f>'ORÇAMENTO GERAL'!$J$46</f>
        <v>44.97</v>
      </c>
      <c r="AC37" s="624">
        <f>'ORÇAMENTO GERAL'!$J$47</f>
        <v>112.88</v>
      </c>
      <c r="AD37" s="291">
        <f>(E37*T37)+(I37*U37)+(J37*V37)+(K37*W37)+(L37*X37)+(M37*Y37)+(O37*Z37)+(P37*AA37)+(Q37*AB37)+(R37*AC37)</f>
        <v>0</v>
      </c>
    </row>
    <row r="38" spans="1:30" s="280" customFormat="1" ht="45" customHeight="1" thickBot="1" x14ac:dyDescent="0.45">
      <c r="A38" s="714" t="s">
        <v>23</v>
      </c>
      <c r="B38" s="715"/>
      <c r="C38" s="482"/>
      <c r="D38" s="482"/>
      <c r="E38" s="482">
        <f>SUM(E30:E37)</f>
        <v>275</v>
      </c>
      <c r="F38" s="482"/>
      <c r="G38" s="482"/>
      <c r="H38" s="482"/>
      <c r="I38" s="482">
        <f t="shared" ref="I38:R38" si="30">SUM(I30:I37)</f>
        <v>461.01</v>
      </c>
      <c r="J38" s="482">
        <f t="shared" si="30"/>
        <v>77.72</v>
      </c>
      <c r="K38" s="482">
        <f t="shared" si="30"/>
        <v>971.5</v>
      </c>
      <c r="L38" s="482">
        <f t="shared" si="30"/>
        <v>335.5</v>
      </c>
      <c r="M38" s="482">
        <f t="shared" si="30"/>
        <v>335.5</v>
      </c>
      <c r="N38" s="482"/>
      <c r="O38" s="482">
        <f t="shared" si="30"/>
        <v>268.3</v>
      </c>
      <c r="P38" s="482">
        <f t="shared" si="30"/>
        <v>114.99</v>
      </c>
      <c r="Q38" s="482">
        <f t="shared" si="30"/>
        <v>0</v>
      </c>
      <c r="R38" s="482">
        <f t="shared" si="30"/>
        <v>275</v>
      </c>
      <c r="S38" s="308"/>
    </row>
    <row r="39" spans="1:30" s="280" customFormat="1" ht="45" customHeight="1" x14ac:dyDescent="0.4">
      <c r="C39" s="298"/>
      <c r="D39" s="298"/>
      <c r="E39" s="298"/>
      <c r="F39" s="298"/>
      <c r="G39" s="298"/>
      <c r="H39" s="298"/>
    </row>
    <row r="40" spans="1:30" s="280" customFormat="1" ht="45" hidden="1" customHeight="1" thickBot="1" x14ac:dyDescent="0.45">
      <c r="A40" s="716" t="s">
        <v>387</v>
      </c>
      <c r="B40" s="717"/>
      <c r="C40" s="717"/>
      <c r="D40" s="717"/>
      <c r="E40" s="717"/>
      <c r="F40" s="717"/>
      <c r="G40" s="717"/>
      <c r="H40" s="717"/>
      <c r="I40" s="717"/>
      <c r="J40" s="717"/>
      <c r="K40" s="717"/>
      <c r="L40" s="717"/>
      <c r="M40" s="717"/>
      <c r="N40" s="717"/>
      <c r="O40" s="717"/>
      <c r="P40" s="717"/>
      <c r="Q40" s="717"/>
      <c r="R40" s="718"/>
      <c r="S40" s="306"/>
    </row>
    <row r="41" spans="1:30" s="280" customFormat="1" ht="45" hidden="1" customHeight="1" x14ac:dyDescent="0.4">
      <c r="A41" s="706" t="s">
        <v>7</v>
      </c>
      <c r="B41" s="709" t="s">
        <v>389</v>
      </c>
      <c r="C41" s="721" t="s">
        <v>564</v>
      </c>
      <c r="D41" s="721"/>
      <c r="E41" s="721"/>
      <c r="F41" s="712" t="s">
        <v>517</v>
      </c>
      <c r="G41" s="712"/>
      <c r="H41" s="712"/>
      <c r="I41" s="712"/>
      <c r="J41" s="712" t="s">
        <v>518</v>
      </c>
      <c r="K41" s="719" t="s">
        <v>521</v>
      </c>
      <c r="L41" s="712" t="s">
        <v>380</v>
      </c>
      <c r="M41" s="712" t="s">
        <v>383</v>
      </c>
      <c r="N41" s="703" t="s">
        <v>381</v>
      </c>
      <c r="O41" s="703" t="s">
        <v>519</v>
      </c>
      <c r="P41" s="703" t="s">
        <v>615</v>
      </c>
      <c r="Q41" s="703" t="s">
        <v>520</v>
      </c>
      <c r="R41" s="721" t="s">
        <v>384</v>
      </c>
      <c r="S41" s="306"/>
    </row>
    <row r="42" spans="1:30" s="280" customFormat="1" ht="45" hidden="1" customHeight="1" x14ac:dyDescent="0.4">
      <c r="A42" s="707"/>
      <c r="B42" s="710"/>
      <c r="C42" s="722"/>
      <c r="D42" s="722"/>
      <c r="E42" s="722"/>
      <c r="F42" s="713"/>
      <c r="G42" s="713"/>
      <c r="H42" s="713"/>
      <c r="I42" s="713"/>
      <c r="J42" s="713"/>
      <c r="K42" s="720"/>
      <c r="L42" s="713"/>
      <c r="M42" s="713"/>
      <c r="N42" s="704"/>
      <c r="O42" s="705"/>
      <c r="P42" s="705"/>
      <c r="Q42" s="704"/>
      <c r="R42" s="722"/>
      <c r="S42" s="306"/>
    </row>
    <row r="43" spans="1:30" s="280" customFormat="1" ht="45" hidden="1" customHeight="1" x14ac:dyDescent="0.4">
      <c r="A43" s="707"/>
      <c r="B43" s="710"/>
      <c r="C43" s="281" t="s">
        <v>155</v>
      </c>
      <c r="D43" s="410" t="s">
        <v>561</v>
      </c>
      <c r="E43" s="281" t="s">
        <v>378</v>
      </c>
      <c r="F43" s="281" t="s">
        <v>372</v>
      </c>
      <c r="G43" s="281" t="s">
        <v>377</v>
      </c>
      <c r="H43" s="281" t="s">
        <v>379</v>
      </c>
      <c r="I43" s="281" t="s">
        <v>23</v>
      </c>
      <c r="J43" s="713"/>
      <c r="K43" s="720"/>
      <c r="L43" s="713"/>
      <c r="M43" s="713"/>
      <c r="N43" s="705"/>
      <c r="O43" s="281" t="s">
        <v>23</v>
      </c>
      <c r="P43" s="281" t="s">
        <v>23</v>
      </c>
      <c r="Q43" s="705"/>
      <c r="R43" s="722"/>
      <c r="S43" s="306"/>
    </row>
    <row r="44" spans="1:30" s="280" customFormat="1" ht="45" hidden="1" customHeight="1" x14ac:dyDescent="0.4">
      <c r="A44" s="707"/>
      <c r="B44" s="710"/>
      <c r="C44" s="408"/>
      <c r="D44" s="408"/>
      <c r="E44" s="408" t="s">
        <v>52</v>
      </c>
      <c r="F44" s="408" t="s">
        <v>55</v>
      </c>
      <c r="G44" s="408" t="s">
        <v>15</v>
      </c>
      <c r="H44" s="408" t="s">
        <v>9</v>
      </c>
      <c r="I44" s="408" t="s">
        <v>382</v>
      </c>
      <c r="J44" s="462" t="s">
        <v>586</v>
      </c>
      <c r="K44" s="463" t="s">
        <v>522</v>
      </c>
      <c r="L44" s="462" t="s">
        <v>523</v>
      </c>
      <c r="M44" s="462" t="s">
        <v>524</v>
      </c>
      <c r="N44" s="462" t="s">
        <v>525</v>
      </c>
      <c r="O44" s="462" t="s">
        <v>618</v>
      </c>
      <c r="P44" s="462" t="s">
        <v>619</v>
      </c>
      <c r="Q44" s="462" t="s">
        <v>616</v>
      </c>
      <c r="R44" s="462" t="s">
        <v>617</v>
      </c>
      <c r="S44" s="306"/>
      <c r="T44" s="728" t="s">
        <v>537</v>
      </c>
      <c r="U44" s="729"/>
      <c r="V44" s="729"/>
      <c r="W44" s="729"/>
      <c r="X44" s="729"/>
      <c r="Y44" s="729"/>
      <c r="Z44" s="729"/>
      <c r="AA44" s="729"/>
      <c r="AB44" s="729"/>
      <c r="AC44" s="729"/>
      <c r="AD44" s="730"/>
    </row>
    <row r="45" spans="1:30" s="280" customFormat="1" ht="45" hidden="1" customHeight="1" thickBot="1" x14ac:dyDescent="0.45">
      <c r="A45" s="708"/>
      <c r="B45" s="711"/>
      <c r="C45" s="614" t="s">
        <v>376</v>
      </c>
      <c r="D45" s="614" t="s">
        <v>373</v>
      </c>
      <c r="E45" s="614" t="s">
        <v>373</v>
      </c>
      <c r="F45" s="614" t="s">
        <v>587</v>
      </c>
      <c r="G45" s="614" t="s">
        <v>588</v>
      </c>
      <c r="H45" s="614"/>
      <c r="I45" s="614"/>
      <c r="J45" s="614"/>
      <c r="K45" s="615">
        <v>10</v>
      </c>
      <c r="L45" s="614"/>
      <c r="M45" s="614"/>
      <c r="N45" s="614"/>
      <c r="O45" s="614"/>
      <c r="P45" s="616"/>
      <c r="Q45" s="616" t="s">
        <v>612</v>
      </c>
      <c r="R45" s="614"/>
      <c r="S45" s="307"/>
      <c r="T45" s="617" t="s">
        <v>531</v>
      </c>
      <c r="U45" s="617" t="s">
        <v>532</v>
      </c>
      <c r="V45" s="617" t="s">
        <v>533</v>
      </c>
      <c r="W45" s="617" t="s">
        <v>534</v>
      </c>
      <c r="X45" s="617" t="s">
        <v>535</v>
      </c>
      <c r="Y45" s="617" t="s">
        <v>390</v>
      </c>
      <c r="Z45" s="618" t="s">
        <v>519</v>
      </c>
      <c r="AA45" s="618" t="s">
        <v>615</v>
      </c>
      <c r="AB45" s="618" t="s">
        <v>520</v>
      </c>
      <c r="AC45" s="618" t="s">
        <v>384</v>
      </c>
      <c r="AD45" s="619" t="s">
        <v>23</v>
      </c>
    </row>
    <row r="46" spans="1:30" s="483" customFormat="1" ht="45" hidden="1" customHeight="1" x14ac:dyDescent="0.4">
      <c r="A46" s="418">
        <f>DADOS!A9</f>
        <v>1</v>
      </c>
      <c r="B46" s="418" t="str">
        <f>DADOS!B9</f>
        <v>TV. BEIRA RIO</v>
      </c>
      <c r="C46" s="292">
        <v>1</v>
      </c>
      <c r="D46" s="290"/>
      <c r="E46" s="292">
        <f t="shared" ref="E46:E52" si="31">C46*D46</f>
        <v>0</v>
      </c>
      <c r="F46" s="292">
        <f t="shared" ref="F46:F52" si="32">0.96+0.5</f>
        <v>1.46</v>
      </c>
      <c r="G46" s="292">
        <f t="shared" ref="G46:G52" si="33">0.96+0.6</f>
        <v>1.56</v>
      </c>
      <c r="H46" s="292">
        <v>0.05</v>
      </c>
      <c r="I46" s="292">
        <f t="shared" ref="I46:I52" si="34">(E46*F46*G46)+(E46*G46*H46)</f>
        <v>0</v>
      </c>
      <c r="J46" s="290">
        <f t="shared" ref="J46:J52" si="35">N46</f>
        <v>0</v>
      </c>
      <c r="K46" s="290">
        <f t="shared" ref="K46:K52" si="36">J46*1.25*$K$13</f>
        <v>0</v>
      </c>
      <c r="L46" s="292">
        <f t="shared" ref="L46:L52" si="37">E46*F46</f>
        <v>0</v>
      </c>
      <c r="M46" s="290">
        <f t="shared" ref="M46:M52" si="38">L46</f>
        <v>0</v>
      </c>
      <c r="N46" s="292">
        <f t="shared" ref="N46:N52" si="39">(3.14*0.4^2)*E46</f>
        <v>0</v>
      </c>
      <c r="O46" s="292">
        <f t="shared" ref="O46:O52" si="40">(I46-N46)*70%</f>
        <v>0</v>
      </c>
      <c r="P46" s="292">
        <f t="shared" ref="P46:P52" si="41">(I46-N46)*30%</f>
        <v>0</v>
      </c>
      <c r="Q46" s="292">
        <f>E46*G46*2</f>
        <v>0</v>
      </c>
      <c r="R46" s="290">
        <f t="shared" ref="R46:R52" si="42">E46</f>
        <v>0</v>
      </c>
      <c r="S46" s="290"/>
      <c r="T46" s="407">
        <f>'ORÇAMENTO GERAL'!$J$48</f>
        <v>540.39</v>
      </c>
      <c r="U46" s="407">
        <f>'ORÇAMENTO GERAL'!$J$49</f>
        <v>14.63</v>
      </c>
      <c r="V46" s="407">
        <f>'ORÇAMENTO GERAL'!$J$50</f>
        <v>8.07</v>
      </c>
      <c r="W46" s="407">
        <f>'ORÇAMENTO GERAL'!$J$51</f>
        <v>3.54</v>
      </c>
      <c r="X46" s="407">
        <f>'ORÇAMENTO GERAL'!$J$52</f>
        <v>7.02</v>
      </c>
      <c r="Y46" s="407">
        <f>'ORÇAMENTO GERAL'!$J$53</f>
        <v>48.92</v>
      </c>
      <c r="Z46" s="407">
        <f>'ORÇAMENTO GERAL'!$J$54</f>
        <v>169.7</v>
      </c>
      <c r="AA46" s="407">
        <f>'ORÇAMENTO GERAL'!$J$55</f>
        <v>22.65</v>
      </c>
      <c r="AB46" s="407">
        <f>'ORÇAMENTO GERAL'!$J$56</f>
        <v>44.97</v>
      </c>
      <c r="AC46" s="407">
        <f>'ORÇAMENTO GERAL'!$J$57</f>
        <v>148.96</v>
      </c>
      <c r="AD46" s="291">
        <f t="shared" ref="AD46:AD52" si="43">(E46*T46)+(I46*U46)+(J46*V46)+(K46*W46)+(L46*X46)+(M46*Y46)+(O46*Z46)+(P46*AA46)+(Q46*AB46)+(R46*AC46)</f>
        <v>0</v>
      </c>
    </row>
    <row r="47" spans="1:30" s="483" customFormat="1" ht="45" hidden="1" customHeight="1" x14ac:dyDescent="0.4">
      <c r="A47" s="418">
        <f>DADOS!A10</f>
        <v>2</v>
      </c>
      <c r="B47" s="418" t="str">
        <f>DADOS!B10</f>
        <v>RUA MOCAJATUBA</v>
      </c>
      <c r="C47" s="292">
        <v>1</v>
      </c>
      <c r="D47" s="290"/>
      <c r="E47" s="292">
        <f t="shared" si="31"/>
        <v>0</v>
      </c>
      <c r="F47" s="292">
        <f t="shared" si="32"/>
        <v>1.46</v>
      </c>
      <c r="G47" s="292">
        <f t="shared" si="33"/>
        <v>1.56</v>
      </c>
      <c r="H47" s="292">
        <v>0.05</v>
      </c>
      <c r="I47" s="292">
        <f t="shared" si="34"/>
        <v>0</v>
      </c>
      <c r="J47" s="290">
        <f t="shared" si="35"/>
        <v>0</v>
      </c>
      <c r="K47" s="290">
        <f t="shared" si="36"/>
        <v>0</v>
      </c>
      <c r="L47" s="292">
        <f t="shared" si="37"/>
        <v>0</v>
      </c>
      <c r="M47" s="290">
        <f t="shared" si="38"/>
        <v>0</v>
      </c>
      <c r="N47" s="292">
        <f t="shared" si="39"/>
        <v>0</v>
      </c>
      <c r="O47" s="292">
        <f t="shared" si="40"/>
        <v>0</v>
      </c>
      <c r="P47" s="292">
        <f t="shared" si="41"/>
        <v>0</v>
      </c>
      <c r="Q47" s="292">
        <f t="shared" ref="Q47:Q53" si="44">E47*G47*2</f>
        <v>0</v>
      </c>
      <c r="R47" s="290">
        <f t="shared" si="42"/>
        <v>0</v>
      </c>
      <c r="S47" s="290"/>
      <c r="T47" s="407">
        <f>'ORÇAMENTO GERAL'!$J$48</f>
        <v>540.39</v>
      </c>
      <c r="U47" s="407">
        <f>'ORÇAMENTO GERAL'!$J$49</f>
        <v>14.63</v>
      </c>
      <c r="V47" s="407">
        <f>'ORÇAMENTO GERAL'!$J$50</f>
        <v>8.07</v>
      </c>
      <c r="W47" s="407">
        <f>'ORÇAMENTO GERAL'!$J$51</f>
        <v>3.54</v>
      </c>
      <c r="X47" s="407">
        <f>'ORÇAMENTO GERAL'!$J$52</f>
        <v>7.02</v>
      </c>
      <c r="Y47" s="407">
        <f>'ORÇAMENTO GERAL'!$J$53</f>
        <v>48.92</v>
      </c>
      <c r="Z47" s="407">
        <f>'ORÇAMENTO GERAL'!$J$54</f>
        <v>169.7</v>
      </c>
      <c r="AA47" s="407">
        <f>'ORÇAMENTO GERAL'!$J$55</f>
        <v>22.65</v>
      </c>
      <c r="AB47" s="407">
        <f>'ORÇAMENTO GERAL'!$J$56</f>
        <v>44.97</v>
      </c>
      <c r="AC47" s="407">
        <f>'ORÇAMENTO GERAL'!$J$57</f>
        <v>148.96</v>
      </c>
      <c r="AD47" s="291">
        <f t="shared" si="43"/>
        <v>0</v>
      </c>
    </row>
    <row r="48" spans="1:30" s="483" customFormat="1" ht="45" hidden="1" customHeight="1" x14ac:dyDescent="0.4">
      <c r="A48" s="418">
        <f>DADOS!A11</f>
        <v>0</v>
      </c>
      <c r="B48" s="418">
        <f>DADOS!B11</f>
        <v>0</v>
      </c>
      <c r="C48" s="292">
        <v>1</v>
      </c>
      <c r="D48" s="290"/>
      <c r="E48" s="292">
        <f t="shared" si="31"/>
        <v>0</v>
      </c>
      <c r="F48" s="292">
        <f t="shared" si="32"/>
        <v>1.46</v>
      </c>
      <c r="G48" s="292">
        <f t="shared" si="33"/>
        <v>1.56</v>
      </c>
      <c r="H48" s="292">
        <v>0.05</v>
      </c>
      <c r="I48" s="292">
        <f t="shared" si="34"/>
        <v>0</v>
      </c>
      <c r="J48" s="290">
        <f t="shared" si="35"/>
        <v>0</v>
      </c>
      <c r="K48" s="290">
        <f t="shared" si="36"/>
        <v>0</v>
      </c>
      <c r="L48" s="292">
        <f t="shared" si="37"/>
        <v>0</v>
      </c>
      <c r="M48" s="290">
        <f t="shared" si="38"/>
        <v>0</v>
      </c>
      <c r="N48" s="292">
        <f t="shared" si="39"/>
        <v>0</v>
      </c>
      <c r="O48" s="292">
        <f t="shared" si="40"/>
        <v>0</v>
      </c>
      <c r="P48" s="292">
        <f t="shared" si="41"/>
        <v>0</v>
      </c>
      <c r="Q48" s="292">
        <f t="shared" si="44"/>
        <v>0</v>
      </c>
      <c r="R48" s="290">
        <f t="shared" si="42"/>
        <v>0</v>
      </c>
      <c r="S48" s="290"/>
      <c r="T48" s="407">
        <f>'ORÇAMENTO GERAL'!$J$48</f>
        <v>540.39</v>
      </c>
      <c r="U48" s="407">
        <f>'ORÇAMENTO GERAL'!$J$49</f>
        <v>14.63</v>
      </c>
      <c r="V48" s="407">
        <f>'ORÇAMENTO GERAL'!$J$50</f>
        <v>8.07</v>
      </c>
      <c r="W48" s="407">
        <f>'ORÇAMENTO GERAL'!$J$51</f>
        <v>3.54</v>
      </c>
      <c r="X48" s="407">
        <f>'ORÇAMENTO GERAL'!$J$52</f>
        <v>7.02</v>
      </c>
      <c r="Y48" s="407">
        <f>'ORÇAMENTO GERAL'!$J$53</f>
        <v>48.92</v>
      </c>
      <c r="Z48" s="407">
        <f>'ORÇAMENTO GERAL'!$J$54</f>
        <v>169.7</v>
      </c>
      <c r="AA48" s="407">
        <f>'ORÇAMENTO GERAL'!$J$55</f>
        <v>22.65</v>
      </c>
      <c r="AB48" s="407">
        <f>'ORÇAMENTO GERAL'!$J$56</f>
        <v>44.97</v>
      </c>
      <c r="AC48" s="407">
        <f>'ORÇAMENTO GERAL'!$J$57</f>
        <v>148.96</v>
      </c>
      <c r="AD48" s="291">
        <f t="shared" si="43"/>
        <v>0</v>
      </c>
    </row>
    <row r="49" spans="1:30" s="483" customFormat="1" ht="45" hidden="1" customHeight="1" x14ac:dyDescent="0.4">
      <c r="A49" s="418">
        <f>DADOS!A12</f>
        <v>4</v>
      </c>
      <c r="B49" s="418">
        <f>DADOS!B12</f>
        <v>0</v>
      </c>
      <c r="C49" s="292">
        <v>1</v>
      </c>
      <c r="D49" s="290"/>
      <c r="E49" s="292">
        <f t="shared" si="31"/>
        <v>0</v>
      </c>
      <c r="F49" s="292">
        <f t="shared" si="32"/>
        <v>1.46</v>
      </c>
      <c r="G49" s="292">
        <f t="shared" si="33"/>
        <v>1.56</v>
      </c>
      <c r="H49" s="292">
        <v>0.05</v>
      </c>
      <c r="I49" s="292">
        <f t="shared" si="34"/>
        <v>0</v>
      </c>
      <c r="J49" s="290">
        <f t="shared" si="35"/>
        <v>0</v>
      </c>
      <c r="K49" s="290">
        <f t="shared" si="36"/>
        <v>0</v>
      </c>
      <c r="L49" s="292">
        <f t="shared" si="37"/>
        <v>0</v>
      </c>
      <c r="M49" s="290">
        <f t="shared" si="38"/>
        <v>0</v>
      </c>
      <c r="N49" s="292">
        <f t="shared" si="39"/>
        <v>0</v>
      </c>
      <c r="O49" s="292">
        <f t="shared" si="40"/>
        <v>0</v>
      </c>
      <c r="P49" s="292">
        <f t="shared" si="41"/>
        <v>0</v>
      </c>
      <c r="Q49" s="292">
        <f t="shared" si="44"/>
        <v>0</v>
      </c>
      <c r="R49" s="290">
        <f t="shared" si="42"/>
        <v>0</v>
      </c>
      <c r="S49" s="290"/>
      <c r="T49" s="407">
        <f>'ORÇAMENTO GERAL'!$J$48</f>
        <v>540.39</v>
      </c>
      <c r="U49" s="407">
        <f>'ORÇAMENTO GERAL'!$J$49</f>
        <v>14.63</v>
      </c>
      <c r="V49" s="407">
        <f>'ORÇAMENTO GERAL'!$J$50</f>
        <v>8.07</v>
      </c>
      <c r="W49" s="407">
        <f>'ORÇAMENTO GERAL'!$J$51</f>
        <v>3.54</v>
      </c>
      <c r="X49" s="407">
        <f>'ORÇAMENTO GERAL'!$J$52</f>
        <v>7.02</v>
      </c>
      <c r="Y49" s="407">
        <f>'ORÇAMENTO GERAL'!$J$53</f>
        <v>48.92</v>
      </c>
      <c r="Z49" s="407">
        <f>'ORÇAMENTO GERAL'!$J$54</f>
        <v>169.7</v>
      </c>
      <c r="AA49" s="407">
        <f>'ORÇAMENTO GERAL'!$J$55</f>
        <v>22.65</v>
      </c>
      <c r="AB49" s="407">
        <f>'ORÇAMENTO GERAL'!$J$56</f>
        <v>44.97</v>
      </c>
      <c r="AC49" s="407">
        <f>'ORÇAMENTO GERAL'!$J$57</f>
        <v>148.96</v>
      </c>
      <c r="AD49" s="291">
        <f t="shared" si="43"/>
        <v>0</v>
      </c>
    </row>
    <row r="50" spans="1:30" s="483" customFormat="1" ht="45" hidden="1" customHeight="1" x14ac:dyDescent="0.4">
      <c r="A50" s="418">
        <f>DADOS!A13</f>
        <v>5</v>
      </c>
      <c r="B50" s="418">
        <f>DADOS!B13</f>
        <v>0</v>
      </c>
      <c r="C50" s="292">
        <v>1</v>
      </c>
      <c r="D50" s="290"/>
      <c r="E50" s="292">
        <f t="shared" si="31"/>
        <v>0</v>
      </c>
      <c r="F50" s="292">
        <f t="shared" si="32"/>
        <v>1.46</v>
      </c>
      <c r="G50" s="292">
        <f t="shared" si="33"/>
        <v>1.56</v>
      </c>
      <c r="H50" s="292">
        <v>0.05</v>
      </c>
      <c r="I50" s="292">
        <f t="shared" si="34"/>
        <v>0</v>
      </c>
      <c r="J50" s="290">
        <f t="shared" si="35"/>
        <v>0</v>
      </c>
      <c r="K50" s="290">
        <f t="shared" si="36"/>
        <v>0</v>
      </c>
      <c r="L50" s="292">
        <f t="shared" si="37"/>
        <v>0</v>
      </c>
      <c r="M50" s="290">
        <f t="shared" si="38"/>
        <v>0</v>
      </c>
      <c r="N50" s="292">
        <f t="shared" si="39"/>
        <v>0</v>
      </c>
      <c r="O50" s="292">
        <f t="shared" si="40"/>
        <v>0</v>
      </c>
      <c r="P50" s="292">
        <f t="shared" si="41"/>
        <v>0</v>
      </c>
      <c r="Q50" s="292">
        <f t="shared" si="44"/>
        <v>0</v>
      </c>
      <c r="R50" s="290">
        <f t="shared" si="42"/>
        <v>0</v>
      </c>
      <c r="S50" s="290"/>
      <c r="T50" s="407">
        <f>'ORÇAMENTO GERAL'!$J$48</f>
        <v>540.39</v>
      </c>
      <c r="U50" s="407">
        <f>'ORÇAMENTO GERAL'!$J$49</f>
        <v>14.63</v>
      </c>
      <c r="V50" s="407">
        <f>'ORÇAMENTO GERAL'!$J$50</f>
        <v>8.07</v>
      </c>
      <c r="W50" s="407">
        <f>'ORÇAMENTO GERAL'!$J$51</f>
        <v>3.54</v>
      </c>
      <c r="X50" s="407">
        <f>'ORÇAMENTO GERAL'!$J$52</f>
        <v>7.02</v>
      </c>
      <c r="Y50" s="407">
        <f>'ORÇAMENTO GERAL'!$J$53</f>
        <v>48.92</v>
      </c>
      <c r="Z50" s="407">
        <f>'ORÇAMENTO GERAL'!$J$54</f>
        <v>169.7</v>
      </c>
      <c r="AA50" s="407">
        <f>'ORÇAMENTO GERAL'!$J$55</f>
        <v>22.65</v>
      </c>
      <c r="AB50" s="407">
        <f>'ORÇAMENTO GERAL'!$J$56</f>
        <v>44.97</v>
      </c>
      <c r="AC50" s="407">
        <f>'ORÇAMENTO GERAL'!$J$57</f>
        <v>148.96</v>
      </c>
      <c r="AD50" s="291">
        <f t="shared" si="43"/>
        <v>0</v>
      </c>
    </row>
    <row r="51" spans="1:30" s="483" customFormat="1" ht="45" hidden="1" customHeight="1" x14ac:dyDescent="0.4">
      <c r="A51" s="418">
        <f>DADOS!A14</f>
        <v>6</v>
      </c>
      <c r="B51" s="418">
        <f>DADOS!B14</f>
        <v>0</v>
      </c>
      <c r="C51" s="292">
        <v>1</v>
      </c>
      <c r="D51" s="290"/>
      <c r="E51" s="292">
        <f t="shared" si="31"/>
        <v>0</v>
      </c>
      <c r="F51" s="292">
        <f t="shared" si="32"/>
        <v>1.46</v>
      </c>
      <c r="G51" s="292">
        <f t="shared" si="33"/>
        <v>1.56</v>
      </c>
      <c r="H51" s="292">
        <v>0.05</v>
      </c>
      <c r="I51" s="292">
        <f t="shared" si="34"/>
        <v>0</v>
      </c>
      <c r="J51" s="290">
        <f t="shared" si="35"/>
        <v>0</v>
      </c>
      <c r="K51" s="290">
        <f t="shared" si="36"/>
        <v>0</v>
      </c>
      <c r="L51" s="292">
        <f t="shared" si="37"/>
        <v>0</v>
      </c>
      <c r="M51" s="290">
        <f t="shared" si="38"/>
        <v>0</v>
      </c>
      <c r="N51" s="292">
        <f t="shared" si="39"/>
        <v>0</v>
      </c>
      <c r="O51" s="292">
        <f t="shared" si="40"/>
        <v>0</v>
      </c>
      <c r="P51" s="292">
        <f t="shared" si="41"/>
        <v>0</v>
      </c>
      <c r="Q51" s="292">
        <f t="shared" si="44"/>
        <v>0</v>
      </c>
      <c r="R51" s="290">
        <f t="shared" si="42"/>
        <v>0</v>
      </c>
      <c r="S51" s="290"/>
      <c r="T51" s="407">
        <f>'ORÇAMENTO GERAL'!$J$48</f>
        <v>540.39</v>
      </c>
      <c r="U51" s="407">
        <f>'ORÇAMENTO GERAL'!$J$49</f>
        <v>14.63</v>
      </c>
      <c r="V51" s="407">
        <f>'ORÇAMENTO GERAL'!$J$50</f>
        <v>8.07</v>
      </c>
      <c r="W51" s="407">
        <f>'ORÇAMENTO GERAL'!$J$51</f>
        <v>3.54</v>
      </c>
      <c r="X51" s="407">
        <f>'ORÇAMENTO GERAL'!$J$52</f>
        <v>7.02</v>
      </c>
      <c r="Y51" s="407">
        <f>'ORÇAMENTO GERAL'!$J$53</f>
        <v>48.92</v>
      </c>
      <c r="Z51" s="407">
        <f>'ORÇAMENTO GERAL'!$J$54</f>
        <v>169.7</v>
      </c>
      <c r="AA51" s="407">
        <f>'ORÇAMENTO GERAL'!$J$55</f>
        <v>22.65</v>
      </c>
      <c r="AB51" s="407">
        <f>'ORÇAMENTO GERAL'!$J$56</f>
        <v>44.97</v>
      </c>
      <c r="AC51" s="407">
        <f>'ORÇAMENTO GERAL'!$J$57</f>
        <v>148.96</v>
      </c>
      <c r="AD51" s="291">
        <f t="shared" si="43"/>
        <v>0</v>
      </c>
    </row>
    <row r="52" spans="1:30" s="483" customFormat="1" ht="45" hidden="1" customHeight="1" x14ac:dyDescent="0.4">
      <c r="A52" s="418">
        <f>DADOS!A15</f>
        <v>7</v>
      </c>
      <c r="B52" s="418">
        <f>DADOS!B15</f>
        <v>0</v>
      </c>
      <c r="C52" s="292">
        <v>1</v>
      </c>
      <c r="D52" s="290"/>
      <c r="E52" s="292">
        <f t="shared" si="31"/>
        <v>0</v>
      </c>
      <c r="F52" s="292">
        <f t="shared" si="32"/>
        <v>1.46</v>
      </c>
      <c r="G52" s="292">
        <f t="shared" si="33"/>
        <v>1.56</v>
      </c>
      <c r="H52" s="292">
        <v>0.05</v>
      </c>
      <c r="I52" s="292">
        <f t="shared" si="34"/>
        <v>0</v>
      </c>
      <c r="J52" s="290">
        <f t="shared" si="35"/>
        <v>0</v>
      </c>
      <c r="K52" s="290">
        <f t="shared" si="36"/>
        <v>0</v>
      </c>
      <c r="L52" s="292">
        <f t="shared" si="37"/>
        <v>0</v>
      </c>
      <c r="M52" s="290">
        <f t="shared" si="38"/>
        <v>0</v>
      </c>
      <c r="N52" s="292">
        <f t="shared" si="39"/>
        <v>0</v>
      </c>
      <c r="O52" s="292">
        <f t="shared" si="40"/>
        <v>0</v>
      </c>
      <c r="P52" s="292">
        <f t="shared" si="41"/>
        <v>0</v>
      </c>
      <c r="Q52" s="292">
        <f t="shared" si="44"/>
        <v>0</v>
      </c>
      <c r="R52" s="290">
        <f t="shared" si="42"/>
        <v>0</v>
      </c>
      <c r="S52" s="290"/>
      <c r="T52" s="407">
        <f>'ORÇAMENTO GERAL'!$J$48</f>
        <v>540.39</v>
      </c>
      <c r="U52" s="407">
        <f>'ORÇAMENTO GERAL'!$J$49</f>
        <v>14.63</v>
      </c>
      <c r="V52" s="407">
        <f>'ORÇAMENTO GERAL'!$J$50</f>
        <v>8.07</v>
      </c>
      <c r="W52" s="407">
        <f>'ORÇAMENTO GERAL'!$J$51</f>
        <v>3.54</v>
      </c>
      <c r="X52" s="407">
        <f>'ORÇAMENTO GERAL'!$J$52</f>
        <v>7.02</v>
      </c>
      <c r="Y52" s="407">
        <f>'ORÇAMENTO GERAL'!$J$53</f>
        <v>48.92</v>
      </c>
      <c r="Z52" s="407">
        <f>'ORÇAMENTO GERAL'!$J$54</f>
        <v>169.7</v>
      </c>
      <c r="AA52" s="407">
        <f>'ORÇAMENTO GERAL'!$J$55</f>
        <v>22.65</v>
      </c>
      <c r="AB52" s="407">
        <f>'ORÇAMENTO GERAL'!$J$56</f>
        <v>44.97</v>
      </c>
      <c r="AC52" s="407">
        <f>'ORÇAMENTO GERAL'!$J$57</f>
        <v>148.96</v>
      </c>
      <c r="AD52" s="291">
        <f t="shared" si="43"/>
        <v>0</v>
      </c>
    </row>
    <row r="53" spans="1:30" s="483" customFormat="1" ht="45" hidden="1" customHeight="1" x14ac:dyDescent="0.4">
      <c r="A53" s="418">
        <f>DADOS!A16</f>
        <v>8</v>
      </c>
      <c r="B53" s="418">
        <f>DADOS!B16</f>
        <v>0</v>
      </c>
      <c r="C53" s="292">
        <v>1</v>
      </c>
      <c r="D53" s="290"/>
      <c r="E53" s="292">
        <f>C53*D53</f>
        <v>0</v>
      </c>
      <c r="F53" s="292">
        <f>0.96+0.5</f>
        <v>1.46</v>
      </c>
      <c r="G53" s="292">
        <f>0.96+0.6</f>
        <v>1.56</v>
      </c>
      <c r="H53" s="292">
        <v>0.05</v>
      </c>
      <c r="I53" s="292">
        <f>(E53*F53*G53)+(E53*G53*H53)</f>
        <v>0</v>
      </c>
      <c r="J53" s="290">
        <f>N53</f>
        <v>0</v>
      </c>
      <c r="K53" s="290">
        <f>J53*1.25*$K$13</f>
        <v>0</v>
      </c>
      <c r="L53" s="292">
        <f>E53*F53</f>
        <v>0</v>
      </c>
      <c r="M53" s="290">
        <f>L53</f>
        <v>0</v>
      </c>
      <c r="N53" s="292">
        <f>(3.14*0.4^2)*E53</f>
        <v>0</v>
      </c>
      <c r="O53" s="292">
        <f>(I53-N53)*70%</f>
        <v>0</v>
      </c>
      <c r="P53" s="292">
        <f>(I53-N53)*30%</f>
        <v>0</v>
      </c>
      <c r="Q53" s="292">
        <f t="shared" si="44"/>
        <v>0</v>
      </c>
      <c r="R53" s="290">
        <f>E53</f>
        <v>0</v>
      </c>
      <c r="S53" s="290"/>
      <c r="T53" s="407">
        <f>'ORÇAMENTO GERAL'!$J$48</f>
        <v>540.39</v>
      </c>
      <c r="U53" s="407">
        <f>'ORÇAMENTO GERAL'!$J$49</f>
        <v>14.63</v>
      </c>
      <c r="V53" s="407">
        <f>'ORÇAMENTO GERAL'!$J$50</f>
        <v>8.07</v>
      </c>
      <c r="W53" s="407">
        <f>'ORÇAMENTO GERAL'!$J$51</f>
        <v>3.54</v>
      </c>
      <c r="X53" s="407">
        <f>'ORÇAMENTO GERAL'!$J$52</f>
        <v>7.02</v>
      </c>
      <c r="Y53" s="407">
        <f>'ORÇAMENTO GERAL'!$J$53</f>
        <v>48.92</v>
      </c>
      <c r="Z53" s="407">
        <f>'ORÇAMENTO GERAL'!$J$54</f>
        <v>169.7</v>
      </c>
      <c r="AA53" s="407">
        <f>'ORÇAMENTO GERAL'!$J$55</f>
        <v>22.65</v>
      </c>
      <c r="AB53" s="407">
        <f>'ORÇAMENTO GERAL'!$J$56</f>
        <v>44.97</v>
      </c>
      <c r="AC53" s="407">
        <f>'ORÇAMENTO GERAL'!$J$57</f>
        <v>148.96</v>
      </c>
      <c r="AD53" s="291">
        <f>(E53*T53)+(I53*U53)+(J53*V53)+(K53*W53)+(L53*X53)+(M53*Y53)+(O53*Z53)+(P53*AA53)+(Q53*AB53)+(R53*AC53)</f>
        <v>0</v>
      </c>
    </row>
    <row r="54" spans="1:30" s="280" customFormat="1" ht="45" hidden="1" customHeight="1" thickBot="1" x14ac:dyDescent="0.45">
      <c r="A54" s="714" t="s">
        <v>23</v>
      </c>
      <c r="B54" s="715"/>
      <c r="C54" s="482"/>
      <c r="D54" s="482"/>
      <c r="E54" s="482">
        <f>SUM(E46:E53)</f>
        <v>0</v>
      </c>
      <c r="F54" s="482"/>
      <c r="G54" s="482"/>
      <c r="H54" s="482"/>
      <c r="I54" s="482">
        <f t="shared" ref="I54:R54" si="45">SUM(I46:I53)</f>
        <v>0</v>
      </c>
      <c r="J54" s="482">
        <f t="shared" si="45"/>
        <v>0</v>
      </c>
      <c r="K54" s="482">
        <f t="shared" si="45"/>
        <v>0</v>
      </c>
      <c r="L54" s="482">
        <f t="shared" si="45"/>
        <v>0</v>
      </c>
      <c r="M54" s="482">
        <f t="shared" si="45"/>
        <v>0</v>
      </c>
      <c r="N54" s="482"/>
      <c r="O54" s="482">
        <f t="shared" si="45"/>
        <v>0</v>
      </c>
      <c r="P54" s="482">
        <f t="shared" si="45"/>
        <v>0</v>
      </c>
      <c r="Q54" s="482">
        <f t="shared" si="45"/>
        <v>0</v>
      </c>
      <c r="R54" s="482">
        <f t="shared" si="45"/>
        <v>0</v>
      </c>
      <c r="S54" s="308"/>
    </row>
    <row r="55" spans="1:30" s="280" customFormat="1" ht="45" hidden="1" customHeight="1" thickBot="1" x14ac:dyDescent="0.45">
      <c r="C55" s="298"/>
      <c r="D55" s="298"/>
      <c r="E55" s="298"/>
      <c r="F55" s="298"/>
      <c r="G55" s="298"/>
      <c r="H55" s="298"/>
    </row>
    <row r="56" spans="1:30" s="280" customFormat="1" ht="45" hidden="1" customHeight="1" thickBot="1" x14ac:dyDescent="0.45">
      <c r="A56" s="716" t="s">
        <v>388</v>
      </c>
      <c r="B56" s="717"/>
      <c r="C56" s="717"/>
      <c r="D56" s="717"/>
      <c r="E56" s="717"/>
      <c r="F56" s="717"/>
      <c r="G56" s="717"/>
      <c r="H56" s="717"/>
      <c r="I56" s="717"/>
      <c r="J56" s="717"/>
      <c r="K56" s="717"/>
      <c r="L56" s="717"/>
      <c r="M56" s="717"/>
      <c r="N56" s="717"/>
      <c r="O56" s="717"/>
      <c r="P56" s="717"/>
      <c r="Q56" s="717"/>
      <c r="R56" s="718"/>
      <c r="S56" s="306"/>
    </row>
    <row r="57" spans="1:30" s="280" customFormat="1" ht="45" hidden="1" customHeight="1" x14ac:dyDescent="0.4">
      <c r="A57" s="706" t="s">
        <v>7</v>
      </c>
      <c r="B57" s="709" t="s">
        <v>389</v>
      </c>
      <c r="C57" s="721" t="s">
        <v>563</v>
      </c>
      <c r="D57" s="721"/>
      <c r="E57" s="721"/>
      <c r="F57" s="712" t="s">
        <v>517</v>
      </c>
      <c r="G57" s="712"/>
      <c r="H57" s="712"/>
      <c r="I57" s="712"/>
      <c r="J57" s="712" t="s">
        <v>518</v>
      </c>
      <c r="K57" s="719" t="s">
        <v>521</v>
      </c>
      <c r="L57" s="712" t="s">
        <v>380</v>
      </c>
      <c r="M57" s="712" t="s">
        <v>383</v>
      </c>
      <c r="N57" s="703" t="s">
        <v>381</v>
      </c>
      <c r="O57" s="703" t="s">
        <v>519</v>
      </c>
      <c r="P57" s="703" t="s">
        <v>615</v>
      </c>
      <c r="Q57" s="703" t="s">
        <v>520</v>
      </c>
      <c r="R57" s="721" t="s">
        <v>384</v>
      </c>
      <c r="S57" s="306"/>
    </row>
    <row r="58" spans="1:30" s="280" customFormat="1" ht="45" hidden="1" customHeight="1" x14ac:dyDescent="0.4">
      <c r="A58" s="707"/>
      <c r="B58" s="710"/>
      <c r="C58" s="722"/>
      <c r="D58" s="722"/>
      <c r="E58" s="722"/>
      <c r="F58" s="713"/>
      <c r="G58" s="713"/>
      <c r="H58" s="713"/>
      <c r="I58" s="713"/>
      <c r="J58" s="713"/>
      <c r="K58" s="720"/>
      <c r="L58" s="713"/>
      <c r="M58" s="713"/>
      <c r="N58" s="704"/>
      <c r="O58" s="705"/>
      <c r="P58" s="705"/>
      <c r="Q58" s="704"/>
      <c r="R58" s="722"/>
      <c r="S58" s="306"/>
    </row>
    <row r="59" spans="1:30" s="280" customFormat="1" ht="45" hidden="1" customHeight="1" x14ac:dyDescent="0.4">
      <c r="A59" s="707"/>
      <c r="B59" s="710"/>
      <c r="C59" s="281" t="s">
        <v>155</v>
      </c>
      <c r="D59" s="410" t="s">
        <v>561</v>
      </c>
      <c r="E59" s="281" t="s">
        <v>378</v>
      </c>
      <c r="F59" s="281" t="s">
        <v>372</v>
      </c>
      <c r="G59" s="281" t="s">
        <v>377</v>
      </c>
      <c r="H59" s="281" t="s">
        <v>379</v>
      </c>
      <c r="I59" s="281" t="s">
        <v>23</v>
      </c>
      <c r="J59" s="713"/>
      <c r="K59" s="720"/>
      <c r="L59" s="713"/>
      <c r="M59" s="713"/>
      <c r="N59" s="705"/>
      <c r="O59" s="281" t="s">
        <v>23</v>
      </c>
      <c r="P59" s="281" t="s">
        <v>23</v>
      </c>
      <c r="Q59" s="705"/>
      <c r="R59" s="722"/>
      <c r="S59" s="306"/>
    </row>
    <row r="60" spans="1:30" s="280" customFormat="1" ht="45" hidden="1" customHeight="1" x14ac:dyDescent="0.4">
      <c r="A60" s="707"/>
      <c r="B60" s="710"/>
      <c r="C60" s="408"/>
      <c r="D60" s="408"/>
      <c r="E60" s="408" t="s">
        <v>52</v>
      </c>
      <c r="F60" s="408" t="s">
        <v>55</v>
      </c>
      <c r="G60" s="408" t="s">
        <v>15</v>
      </c>
      <c r="H60" s="408" t="s">
        <v>9</v>
      </c>
      <c r="I60" s="408" t="s">
        <v>382</v>
      </c>
      <c r="J60" s="462" t="s">
        <v>586</v>
      </c>
      <c r="K60" s="463" t="s">
        <v>522</v>
      </c>
      <c r="L60" s="462" t="s">
        <v>523</v>
      </c>
      <c r="M60" s="462" t="s">
        <v>524</v>
      </c>
      <c r="N60" s="462" t="s">
        <v>525</v>
      </c>
      <c r="O60" s="462" t="s">
        <v>618</v>
      </c>
      <c r="P60" s="462" t="s">
        <v>619</v>
      </c>
      <c r="Q60" s="462" t="s">
        <v>616</v>
      </c>
      <c r="R60" s="462" t="s">
        <v>617</v>
      </c>
      <c r="S60" s="306"/>
      <c r="T60" s="728" t="s">
        <v>538</v>
      </c>
      <c r="U60" s="729"/>
      <c r="V60" s="729"/>
      <c r="W60" s="729"/>
      <c r="X60" s="729"/>
      <c r="Y60" s="729"/>
      <c r="Z60" s="729"/>
      <c r="AA60" s="729"/>
      <c r="AB60" s="729"/>
      <c r="AC60" s="729"/>
      <c r="AD60" s="730"/>
    </row>
    <row r="61" spans="1:30" s="280" customFormat="1" ht="45" hidden="1" customHeight="1" thickBot="1" x14ac:dyDescent="0.45">
      <c r="A61" s="708"/>
      <c r="B61" s="711"/>
      <c r="C61" s="614" t="s">
        <v>376</v>
      </c>
      <c r="D61" s="614" t="s">
        <v>373</v>
      </c>
      <c r="E61" s="614" t="s">
        <v>373</v>
      </c>
      <c r="F61" s="614" t="s">
        <v>587</v>
      </c>
      <c r="G61" s="614" t="s">
        <v>588</v>
      </c>
      <c r="H61" s="614"/>
      <c r="I61" s="614"/>
      <c r="J61" s="614"/>
      <c r="K61" s="615">
        <v>10</v>
      </c>
      <c r="L61" s="614"/>
      <c r="M61" s="614"/>
      <c r="N61" s="614"/>
      <c r="O61" s="614"/>
      <c r="P61" s="616"/>
      <c r="Q61" s="616" t="s">
        <v>612</v>
      </c>
      <c r="R61" s="614"/>
      <c r="S61" s="307"/>
      <c r="T61" s="617" t="s">
        <v>531</v>
      </c>
      <c r="U61" s="617" t="s">
        <v>532</v>
      </c>
      <c r="V61" s="617" t="s">
        <v>533</v>
      </c>
      <c r="W61" s="617" t="s">
        <v>534</v>
      </c>
      <c r="X61" s="617" t="s">
        <v>535</v>
      </c>
      <c r="Y61" s="617" t="s">
        <v>390</v>
      </c>
      <c r="Z61" s="618" t="s">
        <v>519</v>
      </c>
      <c r="AA61" s="618" t="s">
        <v>615</v>
      </c>
      <c r="AB61" s="618" t="s">
        <v>520</v>
      </c>
      <c r="AC61" s="618" t="s">
        <v>384</v>
      </c>
      <c r="AD61" s="619" t="s">
        <v>23</v>
      </c>
    </row>
    <row r="62" spans="1:30" s="483" customFormat="1" ht="45" hidden="1" customHeight="1" x14ac:dyDescent="0.4">
      <c r="A62" s="418">
        <f>DADOS!A9</f>
        <v>1</v>
      </c>
      <c r="B62" s="594" t="str">
        <f>DADOS!B9</f>
        <v>TV. BEIRA RIO</v>
      </c>
      <c r="C62" s="292">
        <v>1</v>
      </c>
      <c r="D62" s="290"/>
      <c r="E62" s="292">
        <f t="shared" ref="E62:E68" si="46">C62*D62</f>
        <v>0</v>
      </c>
      <c r="F62" s="292">
        <f t="shared" ref="F62:F68" si="47">1.2+0.5</f>
        <v>1.7</v>
      </c>
      <c r="G62" s="292">
        <f t="shared" ref="G62:G68" si="48">1.2+0.6</f>
        <v>1.8</v>
      </c>
      <c r="H62" s="292">
        <v>0.05</v>
      </c>
      <c r="I62" s="292">
        <f t="shared" ref="I62:I68" si="49">(E62*F62*G62)+(E62*G62*H62)</f>
        <v>0</v>
      </c>
      <c r="J62" s="290">
        <f t="shared" ref="J62:J68" si="50">N62</f>
        <v>0</v>
      </c>
      <c r="K62" s="290">
        <f t="shared" ref="K62:K68" si="51">J62*1.25*$K$29</f>
        <v>0</v>
      </c>
      <c r="L62" s="292">
        <f t="shared" ref="L62:L68" si="52">E62*F62</f>
        <v>0</v>
      </c>
      <c r="M62" s="290">
        <f t="shared" ref="M62:M68" si="53">L62</f>
        <v>0</v>
      </c>
      <c r="N62" s="292">
        <f t="shared" ref="N62:N68" si="54">(3.14*0.5^2)*E62</f>
        <v>0</v>
      </c>
      <c r="O62" s="292">
        <f t="shared" ref="O62:O68" si="55">(I62-N62)*70%</f>
        <v>0</v>
      </c>
      <c r="P62" s="292">
        <f t="shared" ref="P62:P68" si="56">(I62-N62)*30%</f>
        <v>0</v>
      </c>
      <c r="Q62" s="292">
        <f>E62*G62*2</f>
        <v>0</v>
      </c>
      <c r="R62" s="290">
        <f t="shared" ref="R62:R68" si="57">E62</f>
        <v>0</v>
      </c>
      <c r="S62" s="290"/>
      <c r="T62" s="291">
        <f>'ORÇAMENTO GERAL'!$J$58</f>
        <v>731.67</v>
      </c>
      <c r="U62" s="291">
        <f>'ORÇAMENTO GERAL'!$J$59</f>
        <v>14.63</v>
      </c>
      <c r="V62" s="291">
        <f>'ORÇAMENTO GERAL'!$J$60</f>
        <v>8.07</v>
      </c>
      <c r="W62" s="291">
        <f>'ORÇAMENTO GERAL'!$J$61</f>
        <v>3.54</v>
      </c>
      <c r="X62" s="291">
        <f>'ORÇAMENTO GERAL'!$J$62</f>
        <v>7.02</v>
      </c>
      <c r="Y62" s="291">
        <f>'ORÇAMENTO GERAL'!$J$63</f>
        <v>48.92</v>
      </c>
      <c r="Z62" s="291">
        <f>'ORÇAMENTO GERAL'!$J$64</f>
        <v>169.7</v>
      </c>
      <c r="AA62" s="291">
        <f>'ORÇAMENTO GERAL'!$J$65</f>
        <v>22.65</v>
      </c>
      <c r="AB62" s="291">
        <f>'ORÇAMENTO GERAL'!$J$66</f>
        <v>44.97</v>
      </c>
      <c r="AC62" s="291">
        <f>'ORÇAMENTO GERAL'!$J$67</f>
        <v>196.45</v>
      </c>
      <c r="AD62" s="291">
        <f t="shared" ref="AD62:AD68" si="58">(E62*T62)+(I62*U62)+(J62*V62)+(K62*W62)+(L62*X62)+(M62*Y62)+(O62*Z62)+(P62*AA62)+(Q62*AB62)+(R62*AC62)</f>
        <v>0</v>
      </c>
    </row>
    <row r="63" spans="1:30" s="483" customFormat="1" ht="45" hidden="1" customHeight="1" x14ac:dyDescent="0.4">
      <c r="A63" s="418">
        <f>DADOS!A10</f>
        <v>2</v>
      </c>
      <c r="B63" s="594" t="str">
        <f>DADOS!B10</f>
        <v>RUA MOCAJATUBA</v>
      </c>
      <c r="C63" s="292">
        <v>1</v>
      </c>
      <c r="D63" s="290"/>
      <c r="E63" s="292">
        <f t="shared" si="46"/>
        <v>0</v>
      </c>
      <c r="F63" s="292">
        <f t="shared" si="47"/>
        <v>1.7</v>
      </c>
      <c r="G63" s="292">
        <f t="shared" si="48"/>
        <v>1.8</v>
      </c>
      <c r="H63" s="292">
        <v>0.05</v>
      </c>
      <c r="I63" s="292">
        <f t="shared" si="49"/>
        <v>0</v>
      </c>
      <c r="J63" s="290">
        <f t="shared" si="50"/>
        <v>0</v>
      </c>
      <c r="K63" s="290">
        <f t="shared" si="51"/>
        <v>0</v>
      </c>
      <c r="L63" s="292">
        <f t="shared" si="52"/>
        <v>0</v>
      </c>
      <c r="M63" s="290">
        <f t="shared" si="53"/>
        <v>0</v>
      </c>
      <c r="N63" s="292">
        <f t="shared" si="54"/>
        <v>0</v>
      </c>
      <c r="O63" s="292">
        <f t="shared" si="55"/>
        <v>0</v>
      </c>
      <c r="P63" s="292">
        <f t="shared" si="56"/>
        <v>0</v>
      </c>
      <c r="Q63" s="292">
        <f>E63*G63*2</f>
        <v>0</v>
      </c>
      <c r="R63" s="290">
        <f t="shared" si="57"/>
        <v>0</v>
      </c>
      <c r="S63" s="290"/>
      <c r="T63" s="291">
        <f>'ORÇAMENTO GERAL'!$J$58</f>
        <v>731.67</v>
      </c>
      <c r="U63" s="291">
        <f>'ORÇAMENTO GERAL'!$J$59</f>
        <v>14.63</v>
      </c>
      <c r="V63" s="291">
        <f>'ORÇAMENTO GERAL'!$J$60</f>
        <v>8.07</v>
      </c>
      <c r="W63" s="291">
        <f>'ORÇAMENTO GERAL'!$J$61</f>
        <v>3.54</v>
      </c>
      <c r="X63" s="291">
        <f>'ORÇAMENTO GERAL'!$J$62</f>
        <v>7.02</v>
      </c>
      <c r="Y63" s="291">
        <f>'ORÇAMENTO GERAL'!$J$63</f>
        <v>48.92</v>
      </c>
      <c r="Z63" s="291">
        <f>'ORÇAMENTO GERAL'!$J$64</f>
        <v>169.7</v>
      </c>
      <c r="AA63" s="291">
        <f>'ORÇAMENTO GERAL'!$J$65</f>
        <v>22.65</v>
      </c>
      <c r="AB63" s="291">
        <f>'ORÇAMENTO GERAL'!$J$66</f>
        <v>44.97</v>
      </c>
      <c r="AC63" s="291">
        <f>'ORÇAMENTO GERAL'!$J$67</f>
        <v>196.45</v>
      </c>
      <c r="AD63" s="291">
        <f t="shared" si="58"/>
        <v>0</v>
      </c>
    </row>
    <row r="64" spans="1:30" s="483" customFormat="1" ht="45" hidden="1" customHeight="1" x14ac:dyDescent="0.4">
      <c r="A64" s="418">
        <f>DADOS!A11</f>
        <v>0</v>
      </c>
      <c r="B64" s="594">
        <f>DADOS!B11</f>
        <v>0</v>
      </c>
      <c r="C64" s="292">
        <v>1</v>
      </c>
      <c r="D64" s="290"/>
      <c r="E64" s="292">
        <f t="shared" si="46"/>
        <v>0</v>
      </c>
      <c r="F64" s="292">
        <f t="shared" si="47"/>
        <v>1.7</v>
      </c>
      <c r="G64" s="292">
        <f t="shared" si="48"/>
        <v>1.8</v>
      </c>
      <c r="H64" s="292">
        <v>0.05</v>
      </c>
      <c r="I64" s="292">
        <f t="shared" si="49"/>
        <v>0</v>
      </c>
      <c r="J64" s="290">
        <f t="shared" si="50"/>
        <v>0</v>
      </c>
      <c r="K64" s="290">
        <f t="shared" si="51"/>
        <v>0</v>
      </c>
      <c r="L64" s="292">
        <f t="shared" si="52"/>
        <v>0</v>
      </c>
      <c r="M64" s="290">
        <f t="shared" si="53"/>
        <v>0</v>
      </c>
      <c r="N64" s="292">
        <f t="shared" si="54"/>
        <v>0</v>
      </c>
      <c r="O64" s="292">
        <f t="shared" si="55"/>
        <v>0</v>
      </c>
      <c r="P64" s="292">
        <f t="shared" si="56"/>
        <v>0</v>
      </c>
      <c r="Q64" s="292">
        <f t="shared" ref="Q64:Q68" si="59">E64*G64*2</f>
        <v>0</v>
      </c>
      <c r="R64" s="290">
        <f t="shared" si="57"/>
        <v>0</v>
      </c>
      <c r="S64" s="290"/>
      <c r="T64" s="291">
        <f>'ORÇAMENTO GERAL'!$J$58</f>
        <v>731.67</v>
      </c>
      <c r="U64" s="291">
        <f>'ORÇAMENTO GERAL'!$J$59</f>
        <v>14.63</v>
      </c>
      <c r="V64" s="291">
        <f>'ORÇAMENTO GERAL'!$J$60</f>
        <v>8.07</v>
      </c>
      <c r="W64" s="291">
        <f>'ORÇAMENTO GERAL'!$J$61</f>
        <v>3.54</v>
      </c>
      <c r="X64" s="291">
        <f>'ORÇAMENTO GERAL'!$J$62</f>
        <v>7.02</v>
      </c>
      <c r="Y64" s="291">
        <f>'ORÇAMENTO GERAL'!$J$63</f>
        <v>48.92</v>
      </c>
      <c r="Z64" s="291">
        <f>'ORÇAMENTO GERAL'!$J$64</f>
        <v>169.7</v>
      </c>
      <c r="AA64" s="291">
        <f>'ORÇAMENTO GERAL'!$J$65</f>
        <v>22.65</v>
      </c>
      <c r="AB64" s="291">
        <f>'ORÇAMENTO GERAL'!$J$66</f>
        <v>44.97</v>
      </c>
      <c r="AC64" s="291">
        <f>'ORÇAMENTO GERAL'!$J$67</f>
        <v>196.45</v>
      </c>
      <c r="AD64" s="291">
        <f t="shared" si="58"/>
        <v>0</v>
      </c>
    </row>
    <row r="65" spans="1:30" s="483" customFormat="1" ht="45" hidden="1" customHeight="1" x14ac:dyDescent="0.4">
      <c r="A65" s="418">
        <f>DADOS!A12</f>
        <v>4</v>
      </c>
      <c r="B65" s="594">
        <f>DADOS!B12</f>
        <v>0</v>
      </c>
      <c r="C65" s="292">
        <v>1</v>
      </c>
      <c r="D65" s="290"/>
      <c r="E65" s="292">
        <f t="shared" si="46"/>
        <v>0</v>
      </c>
      <c r="F65" s="292">
        <f t="shared" si="47"/>
        <v>1.7</v>
      </c>
      <c r="G65" s="292">
        <f t="shared" si="48"/>
        <v>1.8</v>
      </c>
      <c r="H65" s="292">
        <v>0.05</v>
      </c>
      <c r="I65" s="292">
        <f t="shared" si="49"/>
        <v>0</v>
      </c>
      <c r="J65" s="290">
        <f t="shared" si="50"/>
        <v>0</v>
      </c>
      <c r="K65" s="290">
        <f t="shared" si="51"/>
        <v>0</v>
      </c>
      <c r="L65" s="292">
        <f t="shared" si="52"/>
        <v>0</v>
      </c>
      <c r="M65" s="290">
        <f t="shared" si="53"/>
        <v>0</v>
      </c>
      <c r="N65" s="292">
        <f t="shared" si="54"/>
        <v>0</v>
      </c>
      <c r="O65" s="292">
        <f t="shared" si="55"/>
        <v>0</v>
      </c>
      <c r="P65" s="292">
        <f t="shared" si="56"/>
        <v>0</v>
      </c>
      <c r="Q65" s="292">
        <f t="shared" si="59"/>
        <v>0</v>
      </c>
      <c r="R65" s="290">
        <f t="shared" si="57"/>
        <v>0</v>
      </c>
      <c r="S65" s="290"/>
      <c r="T65" s="291">
        <f>'ORÇAMENTO GERAL'!$J$58</f>
        <v>731.67</v>
      </c>
      <c r="U65" s="291">
        <f>'ORÇAMENTO GERAL'!$J$59</f>
        <v>14.63</v>
      </c>
      <c r="V65" s="291">
        <f>'ORÇAMENTO GERAL'!$J$60</f>
        <v>8.07</v>
      </c>
      <c r="W65" s="291">
        <f>'ORÇAMENTO GERAL'!$J$61</f>
        <v>3.54</v>
      </c>
      <c r="X65" s="291">
        <f>'ORÇAMENTO GERAL'!$J$62</f>
        <v>7.02</v>
      </c>
      <c r="Y65" s="291">
        <f>'ORÇAMENTO GERAL'!$J$63</f>
        <v>48.92</v>
      </c>
      <c r="Z65" s="291">
        <f>'ORÇAMENTO GERAL'!$J$64</f>
        <v>169.7</v>
      </c>
      <c r="AA65" s="291">
        <f>'ORÇAMENTO GERAL'!$J$65</f>
        <v>22.65</v>
      </c>
      <c r="AB65" s="291">
        <f>'ORÇAMENTO GERAL'!$J$66</f>
        <v>44.97</v>
      </c>
      <c r="AC65" s="291">
        <f>'ORÇAMENTO GERAL'!$J$67</f>
        <v>196.45</v>
      </c>
      <c r="AD65" s="291">
        <f t="shared" si="58"/>
        <v>0</v>
      </c>
    </row>
    <row r="66" spans="1:30" s="483" customFormat="1" ht="45" hidden="1" customHeight="1" x14ac:dyDescent="0.4">
      <c r="A66" s="418">
        <f>DADOS!A13</f>
        <v>5</v>
      </c>
      <c r="B66" s="594">
        <f>DADOS!B13</f>
        <v>0</v>
      </c>
      <c r="C66" s="292">
        <v>1</v>
      </c>
      <c r="D66" s="290"/>
      <c r="E66" s="292">
        <f t="shared" si="46"/>
        <v>0</v>
      </c>
      <c r="F66" s="292">
        <f t="shared" si="47"/>
        <v>1.7</v>
      </c>
      <c r="G66" s="292">
        <f t="shared" si="48"/>
        <v>1.8</v>
      </c>
      <c r="H66" s="292">
        <v>0.05</v>
      </c>
      <c r="I66" s="292">
        <f t="shared" si="49"/>
        <v>0</v>
      </c>
      <c r="J66" s="290">
        <f t="shared" si="50"/>
        <v>0</v>
      </c>
      <c r="K66" s="290">
        <f t="shared" si="51"/>
        <v>0</v>
      </c>
      <c r="L66" s="292">
        <f t="shared" si="52"/>
        <v>0</v>
      </c>
      <c r="M66" s="290">
        <f t="shared" si="53"/>
        <v>0</v>
      </c>
      <c r="N66" s="292">
        <f t="shared" si="54"/>
        <v>0</v>
      </c>
      <c r="O66" s="292">
        <f t="shared" si="55"/>
        <v>0</v>
      </c>
      <c r="P66" s="292">
        <f t="shared" si="56"/>
        <v>0</v>
      </c>
      <c r="Q66" s="292">
        <f t="shared" si="59"/>
        <v>0</v>
      </c>
      <c r="R66" s="290">
        <f t="shared" si="57"/>
        <v>0</v>
      </c>
      <c r="S66" s="290"/>
      <c r="T66" s="291">
        <f>'ORÇAMENTO GERAL'!$J$58</f>
        <v>731.67</v>
      </c>
      <c r="U66" s="291">
        <f>'ORÇAMENTO GERAL'!$J$59</f>
        <v>14.63</v>
      </c>
      <c r="V66" s="291">
        <f>'ORÇAMENTO GERAL'!$J$60</f>
        <v>8.07</v>
      </c>
      <c r="W66" s="291">
        <f>'ORÇAMENTO GERAL'!$J$61</f>
        <v>3.54</v>
      </c>
      <c r="X66" s="291">
        <f>'ORÇAMENTO GERAL'!$J$62</f>
        <v>7.02</v>
      </c>
      <c r="Y66" s="291">
        <f>'ORÇAMENTO GERAL'!$J$63</f>
        <v>48.92</v>
      </c>
      <c r="Z66" s="291">
        <f>'ORÇAMENTO GERAL'!$J$64</f>
        <v>169.7</v>
      </c>
      <c r="AA66" s="291">
        <f>'ORÇAMENTO GERAL'!$J$65</f>
        <v>22.65</v>
      </c>
      <c r="AB66" s="291">
        <f>'ORÇAMENTO GERAL'!$J$66</f>
        <v>44.97</v>
      </c>
      <c r="AC66" s="291">
        <f>'ORÇAMENTO GERAL'!$J$67</f>
        <v>196.45</v>
      </c>
      <c r="AD66" s="291">
        <f t="shared" si="58"/>
        <v>0</v>
      </c>
    </row>
    <row r="67" spans="1:30" s="483" customFormat="1" ht="45" hidden="1" customHeight="1" x14ac:dyDescent="0.4">
      <c r="A67" s="418">
        <f>DADOS!A14</f>
        <v>6</v>
      </c>
      <c r="B67" s="594">
        <f>DADOS!B14</f>
        <v>0</v>
      </c>
      <c r="C67" s="292">
        <v>1</v>
      </c>
      <c r="D67" s="290"/>
      <c r="E67" s="292">
        <f t="shared" si="46"/>
        <v>0</v>
      </c>
      <c r="F67" s="292">
        <f t="shared" si="47"/>
        <v>1.7</v>
      </c>
      <c r="G67" s="292">
        <f t="shared" si="48"/>
        <v>1.8</v>
      </c>
      <c r="H67" s="292">
        <v>0.05</v>
      </c>
      <c r="I67" s="292">
        <f t="shared" si="49"/>
        <v>0</v>
      </c>
      <c r="J67" s="290">
        <f t="shared" si="50"/>
        <v>0</v>
      </c>
      <c r="K67" s="290">
        <f t="shared" si="51"/>
        <v>0</v>
      </c>
      <c r="L67" s="292">
        <f t="shared" si="52"/>
        <v>0</v>
      </c>
      <c r="M67" s="290">
        <f t="shared" si="53"/>
        <v>0</v>
      </c>
      <c r="N67" s="292">
        <f t="shared" si="54"/>
        <v>0</v>
      </c>
      <c r="O67" s="292">
        <f t="shared" si="55"/>
        <v>0</v>
      </c>
      <c r="P67" s="292">
        <f t="shared" si="56"/>
        <v>0</v>
      </c>
      <c r="Q67" s="292">
        <f t="shared" si="59"/>
        <v>0</v>
      </c>
      <c r="R67" s="290">
        <f t="shared" si="57"/>
        <v>0</v>
      </c>
      <c r="S67" s="290"/>
      <c r="T67" s="291">
        <f>'ORÇAMENTO GERAL'!$J$58</f>
        <v>731.67</v>
      </c>
      <c r="U67" s="291">
        <f>'ORÇAMENTO GERAL'!$J$59</f>
        <v>14.63</v>
      </c>
      <c r="V67" s="291">
        <f>'ORÇAMENTO GERAL'!$J$60</f>
        <v>8.07</v>
      </c>
      <c r="W67" s="291">
        <f>'ORÇAMENTO GERAL'!$J$61</f>
        <v>3.54</v>
      </c>
      <c r="X67" s="291">
        <f>'ORÇAMENTO GERAL'!$J$62</f>
        <v>7.02</v>
      </c>
      <c r="Y67" s="291">
        <f>'ORÇAMENTO GERAL'!$J$63</f>
        <v>48.92</v>
      </c>
      <c r="Z67" s="291">
        <f>'ORÇAMENTO GERAL'!$J$64</f>
        <v>169.7</v>
      </c>
      <c r="AA67" s="291">
        <f>'ORÇAMENTO GERAL'!$J$65</f>
        <v>22.65</v>
      </c>
      <c r="AB67" s="291">
        <f>'ORÇAMENTO GERAL'!$J$66</f>
        <v>44.97</v>
      </c>
      <c r="AC67" s="291">
        <f>'ORÇAMENTO GERAL'!$J$67</f>
        <v>196.45</v>
      </c>
      <c r="AD67" s="291">
        <f t="shared" si="58"/>
        <v>0</v>
      </c>
    </row>
    <row r="68" spans="1:30" s="483" customFormat="1" ht="45" hidden="1" customHeight="1" x14ac:dyDescent="0.4">
      <c r="A68" s="418">
        <f>DADOS!A15</f>
        <v>7</v>
      </c>
      <c r="B68" s="594">
        <f>DADOS!B15</f>
        <v>0</v>
      </c>
      <c r="C68" s="292">
        <v>1</v>
      </c>
      <c r="D68" s="290"/>
      <c r="E68" s="292">
        <f t="shared" si="46"/>
        <v>0</v>
      </c>
      <c r="F68" s="292">
        <f t="shared" si="47"/>
        <v>1.7</v>
      </c>
      <c r="G68" s="292">
        <f t="shared" si="48"/>
        <v>1.8</v>
      </c>
      <c r="H68" s="292">
        <v>0.05</v>
      </c>
      <c r="I68" s="292">
        <f t="shared" si="49"/>
        <v>0</v>
      </c>
      <c r="J68" s="290">
        <f t="shared" si="50"/>
        <v>0</v>
      </c>
      <c r="K68" s="290">
        <f t="shared" si="51"/>
        <v>0</v>
      </c>
      <c r="L68" s="292">
        <f t="shared" si="52"/>
        <v>0</v>
      </c>
      <c r="M68" s="290">
        <f t="shared" si="53"/>
        <v>0</v>
      </c>
      <c r="N68" s="292">
        <f t="shared" si="54"/>
        <v>0</v>
      </c>
      <c r="O68" s="292">
        <f t="shared" si="55"/>
        <v>0</v>
      </c>
      <c r="P68" s="292">
        <f t="shared" si="56"/>
        <v>0</v>
      </c>
      <c r="Q68" s="292">
        <f t="shared" si="59"/>
        <v>0</v>
      </c>
      <c r="R68" s="290">
        <f t="shared" si="57"/>
        <v>0</v>
      </c>
      <c r="S68" s="290"/>
      <c r="T68" s="291">
        <f>'ORÇAMENTO GERAL'!$J$58</f>
        <v>731.67</v>
      </c>
      <c r="U68" s="291">
        <f>'ORÇAMENTO GERAL'!$J$59</f>
        <v>14.63</v>
      </c>
      <c r="V68" s="291">
        <f>'ORÇAMENTO GERAL'!$J$60</f>
        <v>8.07</v>
      </c>
      <c r="W68" s="291">
        <f>'ORÇAMENTO GERAL'!$J$61</f>
        <v>3.54</v>
      </c>
      <c r="X68" s="291">
        <f>'ORÇAMENTO GERAL'!$J$62</f>
        <v>7.02</v>
      </c>
      <c r="Y68" s="291">
        <f>'ORÇAMENTO GERAL'!$J$63</f>
        <v>48.92</v>
      </c>
      <c r="Z68" s="291">
        <f>'ORÇAMENTO GERAL'!$J$64</f>
        <v>169.7</v>
      </c>
      <c r="AA68" s="291">
        <f>'ORÇAMENTO GERAL'!$J$65</f>
        <v>22.65</v>
      </c>
      <c r="AB68" s="291">
        <f>'ORÇAMENTO GERAL'!$J$66</f>
        <v>44.97</v>
      </c>
      <c r="AC68" s="291">
        <f>'ORÇAMENTO GERAL'!$J$67</f>
        <v>196.45</v>
      </c>
      <c r="AD68" s="291">
        <f t="shared" si="58"/>
        <v>0</v>
      </c>
    </row>
    <row r="69" spans="1:30" s="483" customFormat="1" ht="45" hidden="1" customHeight="1" x14ac:dyDescent="0.4">
      <c r="A69" s="418">
        <f>DADOS!A16</f>
        <v>8</v>
      </c>
      <c r="B69" s="594">
        <f>DADOS!B16</f>
        <v>0</v>
      </c>
      <c r="C69" s="292">
        <v>1</v>
      </c>
      <c r="D69" s="290"/>
      <c r="E69" s="292">
        <f>C69*D69</f>
        <v>0</v>
      </c>
      <c r="F69" s="292">
        <f>1.2+0.5</f>
        <v>1.7</v>
      </c>
      <c r="G69" s="292">
        <f>1.2+0.6</f>
        <v>1.8</v>
      </c>
      <c r="H69" s="292">
        <v>0.05</v>
      </c>
      <c r="I69" s="292">
        <f>(E69*F69*G69)+(E69*G69*H69)</f>
        <v>0</v>
      </c>
      <c r="J69" s="290">
        <f>N69</f>
        <v>0</v>
      </c>
      <c r="K69" s="290">
        <f>J69*1.25*$K$29</f>
        <v>0</v>
      </c>
      <c r="L69" s="292">
        <f>E69*F69</f>
        <v>0</v>
      </c>
      <c r="M69" s="290">
        <f>L69</f>
        <v>0</v>
      </c>
      <c r="N69" s="292">
        <f>(3.14*0.5^2)*E69</f>
        <v>0</v>
      </c>
      <c r="O69" s="292">
        <f>(I69-N69)*70%</f>
        <v>0</v>
      </c>
      <c r="P69" s="292">
        <f>(I69-N69)*30%</f>
        <v>0</v>
      </c>
      <c r="Q69" s="292">
        <f>E69*G69*2</f>
        <v>0</v>
      </c>
      <c r="R69" s="290">
        <f>E69</f>
        <v>0</v>
      </c>
      <c r="S69" s="290"/>
      <c r="T69" s="291">
        <f>'ORÇAMENTO GERAL'!$J$58</f>
        <v>731.67</v>
      </c>
      <c r="U69" s="291">
        <f>'ORÇAMENTO GERAL'!$J$59</f>
        <v>14.63</v>
      </c>
      <c r="V69" s="291">
        <f>'ORÇAMENTO GERAL'!$J$60</f>
        <v>8.07</v>
      </c>
      <c r="W69" s="291">
        <f>'ORÇAMENTO GERAL'!$J$61</f>
        <v>3.54</v>
      </c>
      <c r="X69" s="291">
        <f>'ORÇAMENTO GERAL'!$J$62</f>
        <v>7.02</v>
      </c>
      <c r="Y69" s="291">
        <f>'ORÇAMENTO GERAL'!$J$63</f>
        <v>48.92</v>
      </c>
      <c r="Z69" s="291">
        <f>'ORÇAMENTO GERAL'!$J$64</f>
        <v>169.7</v>
      </c>
      <c r="AA69" s="291">
        <f>'ORÇAMENTO GERAL'!$J$65</f>
        <v>22.65</v>
      </c>
      <c r="AB69" s="291">
        <f>'ORÇAMENTO GERAL'!$J$66</f>
        <v>44.97</v>
      </c>
      <c r="AC69" s="291">
        <f>'ORÇAMENTO GERAL'!$J$67</f>
        <v>196.45</v>
      </c>
      <c r="AD69" s="291">
        <f>(E69*T69)+(I69*U69)+(J69*V69)+(K69*W69)+(L69*X69)+(M69*Y69)+(O69*Z69)+(P69*AA69)+(Q69*AB69)+(R69*AC69)</f>
        <v>0</v>
      </c>
    </row>
    <row r="70" spans="1:30" s="280" customFormat="1" ht="45" hidden="1" customHeight="1" thickBot="1" x14ac:dyDescent="0.45">
      <c r="A70" s="714" t="s">
        <v>23</v>
      </c>
      <c r="B70" s="715"/>
      <c r="C70" s="482"/>
      <c r="D70" s="482"/>
      <c r="E70" s="482">
        <f>SUM(E62:E69)</f>
        <v>0</v>
      </c>
      <c r="F70" s="482"/>
      <c r="G70" s="482"/>
      <c r="H70" s="482"/>
      <c r="I70" s="482">
        <f t="shared" ref="I70:R70" si="60">SUM(I62:I69)</f>
        <v>0</v>
      </c>
      <c r="J70" s="482">
        <f t="shared" si="60"/>
        <v>0</v>
      </c>
      <c r="K70" s="482">
        <f t="shared" si="60"/>
        <v>0</v>
      </c>
      <c r="L70" s="482">
        <f t="shared" si="60"/>
        <v>0</v>
      </c>
      <c r="M70" s="482">
        <f t="shared" si="60"/>
        <v>0</v>
      </c>
      <c r="N70" s="482"/>
      <c r="O70" s="482">
        <f t="shared" si="60"/>
        <v>0</v>
      </c>
      <c r="P70" s="482">
        <f t="shared" si="60"/>
        <v>0</v>
      </c>
      <c r="Q70" s="482">
        <f t="shared" si="60"/>
        <v>0</v>
      </c>
      <c r="R70" s="482">
        <f t="shared" si="60"/>
        <v>0</v>
      </c>
      <c r="S70" s="308"/>
    </row>
    <row r="71" spans="1:30" s="280" customFormat="1" ht="45" hidden="1" customHeight="1" thickBot="1" x14ac:dyDescent="0.45">
      <c r="C71" s="298"/>
      <c r="D71" s="298"/>
      <c r="E71" s="298"/>
      <c r="F71" s="298"/>
      <c r="G71" s="298"/>
      <c r="H71" s="298"/>
    </row>
    <row r="72" spans="1:30" s="280" customFormat="1" ht="45" hidden="1" customHeight="1" thickBot="1" x14ac:dyDescent="0.45">
      <c r="A72" s="716" t="s">
        <v>480</v>
      </c>
      <c r="B72" s="717"/>
      <c r="C72" s="717"/>
      <c r="D72" s="717"/>
      <c r="E72" s="717"/>
      <c r="F72" s="717"/>
      <c r="G72" s="717"/>
      <c r="H72" s="717"/>
      <c r="I72" s="717"/>
      <c r="J72" s="717"/>
      <c r="K72" s="717"/>
      <c r="L72" s="717"/>
      <c r="M72" s="717"/>
      <c r="N72" s="717"/>
      <c r="O72" s="717"/>
      <c r="P72" s="717"/>
      <c r="Q72" s="717"/>
      <c r="R72" s="718"/>
      <c r="S72" s="306"/>
    </row>
    <row r="73" spans="1:30" s="280" customFormat="1" ht="45" hidden="1" customHeight="1" x14ac:dyDescent="0.4">
      <c r="A73" s="706" t="s">
        <v>7</v>
      </c>
      <c r="B73" s="709" t="s">
        <v>389</v>
      </c>
      <c r="C73" s="721" t="s">
        <v>562</v>
      </c>
      <c r="D73" s="721"/>
      <c r="E73" s="721"/>
      <c r="F73" s="712" t="s">
        <v>517</v>
      </c>
      <c r="G73" s="712"/>
      <c r="H73" s="712"/>
      <c r="I73" s="712"/>
      <c r="J73" s="712" t="s">
        <v>518</v>
      </c>
      <c r="K73" s="719" t="s">
        <v>521</v>
      </c>
      <c r="L73" s="712" t="s">
        <v>380</v>
      </c>
      <c r="M73" s="712" t="s">
        <v>383</v>
      </c>
      <c r="N73" s="703" t="s">
        <v>381</v>
      </c>
      <c r="O73" s="703" t="s">
        <v>519</v>
      </c>
      <c r="P73" s="703" t="s">
        <v>615</v>
      </c>
      <c r="Q73" s="703" t="s">
        <v>520</v>
      </c>
      <c r="R73" s="721" t="s">
        <v>384</v>
      </c>
      <c r="S73" s="306"/>
    </row>
    <row r="74" spans="1:30" s="280" customFormat="1" ht="45" hidden="1" customHeight="1" x14ac:dyDescent="0.4">
      <c r="A74" s="707"/>
      <c r="B74" s="710"/>
      <c r="C74" s="722"/>
      <c r="D74" s="722"/>
      <c r="E74" s="722"/>
      <c r="F74" s="713"/>
      <c r="G74" s="713"/>
      <c r="H74" s="713"/>
      <c r="I74" s="713"/>
      <c r="J74" s="713"/>
      <c r="K74" s="720"/>
      <c r="L74" s="713"/>
      <c r="M74" s="713"/>
      <c r="N74" s="704"/>
      <c r="O74" s="705"/>
      <c r="P74" s="705"/>
      <c r="Q74" s="704"/>
      <c r="R74" s="722"/>
      <c r="S74" s="306"/>
    </row>
    <row r="75" spans="1:30" s="280" customFormat="1" ht="45" hidden="1" customHeight="1" x14ac:dyDescent="0.4">
      <c r="A75" s="707"/>
      <c r="B75" s="710"/>
      <c r="C75" s="281" t="s">
        <v>155</v>
      </c>
      <c r="D75" s="410" t="s">
        <v>561</v>
      </c>
      <c r="E75" s="281" t="s">
        <v>378</v>
      </c>
      <c r="F75" s="281" t="s">
        <v>372</v>
      </c>
      <c r="G75" s="281" t="s">
        <v>377</v>
      </c>
      <c r="H75" s="281" t="s">
        <v>379</v>
      </c>
      <c r="I75" s="281" t="s">
        <v>23</v>
      </c>
      <c r="J75" s="713"/>
      <c r="K75" s="720"/>
      <c r="L75" s="713"/>
      <c r="M75" s="713"/>
      <c r="N75" s="705"/>
      <c r="O75" s="281" t="s">
        <v>23</v>
      </c>
      <c r="P75" s="281" t="s">
        <v>23</v>
      </c>
      <c r="Q75" s="705"/>
      <c r="R75" s="722"/>
      <c r="S75" s="306"/>
    </row>
    <row r="76" spans="1:30" s="280" customFormat="1" ht="45" hidden="1" customHeight="1" x14ac:dyDescent="0.4">
      <c r="A76" s="707"/>
      <c r="B76" s="710"/>
      <c r="C76" s="408"/>
      <c r="D76" s="408"/>
      <c r="E76" s="408" t="s">
        <v>52</v>
      </c>
      <c r="F76" s="408" t="s">
        <v>55</v>
      </c>
      <c r="G76" s="408" t="s">
        <v>15</v>
      </c>
      <c r="H76" s="408" t="s">
        <v>9</v>
      </c>
      <c r="I76" s="408" t="s">
        <v>382</v>
      </c>
      <c r="J76" s="462" t="s">
        <v>586</v>
      </c>
      <c r="K76" s="463" t="s">
        <v>522</v>
      </c>
      <c r="L76" s="462" t="s">
        <v>523</v>
      </c>
      <c r="M76" s="462" t="s">
        <v>524</v>
      </c>
      <c r="N76" s="462" t="s">
        <v>525</v>
      </c>
      <c r="O76" s="462" t="s">
        <v>618</v>
      </c>
      <c r="P76" s="462" t="s">
        <v>619</v>
      </c>
      <c r="Q76" s="462" t="s">
        <v>616</v>
      </c>
      <c r="R76" s="462" t="s">
        <v>617</v>
      </c>
      <c r="S76" s="306"/>
      <c r="T76" s="728" t="s">
        <v>539</v>
      </c>
      <c r="U76" s="729"/>
      <c r="V76" s="729"/>
      <c r="W76" s="729"/>
      <c r="X76" s="729"/>
      <c r="Y76" s="729"/>
      <c r="Z76" s="729"/>
      <c r="AA76" s="729"/>
      <c r="AB76" s="729"/>
      <c r="AC76" s="729"/>
      <c r="AD76" s="730"/>
    </row>
    <row r="77" spans="1:30" s="280" customFormat="1" ht="45" hidden="1" customHeight="1" thickBot="1" x14ac:dyDescent="0.45">
      <c r="A77" s="708"/>
      <c r="B77" s="711"/>
      <c r="C77" s="283" t="s">
        <v>376</v>
      </c>
      <c r="D77" s="283" t="s">
        <v>373</v>
      </c>
      <c r="E77" s="283" t="s">
        <v>373</v>
      </c>
      <c r="F77" s="283" t="s">
        <v>587</v>
      </c>
      <c r="G77" s="283" t="s">
        <v>588</v>
      </c>
      <c r="H77" s="283"/>
      <c r="I77" s="283"/>
      <c r="J77" s="283"/>
      <c r="K77" s="310">
        <v>10</v>
      </c>
      <c r="L77" s="283"/>
      <c r="M77" s="283"/>
      <c r="N77" s="283"/>
      <c r="O77" s="283"/>
      <c r="P77" s="460"/>
      <c r="Q77" s="460" t="s">
        <v>612</v>
      </c>
      <c r="R77" s="283"/>
      <c r="S77" s="307"/>
      <c r="T77" s="410" t="s">
        <v>531</v>
      </c>
      <c r="U77" s="410" t="s">
        <v>532</v>
      </c>
      <c r="V77" s="410" t="s">
        <v>533</v>
      </c>
      <c r="W77" s="410" t="s">
        <v>534</v>
      </c>
      <c r="X77" s="410" t="s">
        <v>535</v>
      </c>
      <c r="Y77" s="410" t="s">
        <v>390</v>
      </c>
      <c r="Z77" s="281" t="s">
        <v>519</v>
      </c>
      <c r="AA77" s="281" t="s">
        <v>615</v>
      </c>
      <c r="AB77" s="281" t="s">
        <v>520</v>
      </c>
      <c r="AC77" s="281" t="s">
        <v>384</v>
      </c>
      <c r="AD77" s="407" t="s">
        <v>23</v>
      </c>
    </row>
    <row r="78" spans="1:30" s="280" customFormat="1" ht="45" hidden="1" customHeight="1" x14ac:dyDescent="0.4">
      <c r="A78" s="284">
        <v>1</v>
      </c>
      <c r="B78" s="285" t="str">
        <f>B62</f>
        <v>TV. BEIRA RIO</v>
      </c>
      <c r="C78" s="287">
        <v>1</v>
      </c>
      <c r="D78" s="286"/>
      <c r="E78" s="287">
        <f>C78*D78</f>
        <v>0</v>
      </c>
      <c r="F78" s="288">
        <f>1.44+0.5</f>
        <v>1.94</v>
      </c>
      <c r="G78" s="288">
        <f>1.44+0.6</f>
        <v>2.04</v>
      </c>
      <c r="H78" s="288">
        <v>0.05</v>
      </c>
      <c r="I78" s="288">
        <f>(E78*F78*G78)+(E78*G78*H78)</f>
        <v>0</v>
      </c>
      <c r="J78" s="289">
        <f>N78</f>
        <v>0</v>
      </c>
      <c r="K78" s="311">
        <f>J78*1.25*$K$13</f>
        <v>0</v>
      </c>
      <c r="L78" s="288">
        <f>E78*F78</f>
        <v>0</v>
      </c>
      <c r="M78" s="289">
        <f>L78</f>
        <v>0</v>
      </c>
      <c r="N78" s="288">
        <f>(3.14*0.6^2)*E78</f>
        <v>0</v>
      </c>
      <c r="O78" s="288">
        <f>(I78-N78)*70%</f>
        <v>0</v>
      </c>
      <c r="P78" s="288">
        <f>(I78-N78)*30%</f>
        <v>0</v>
      </c>
      <c r="Q78" s="288">
        <f>E78*G78*2</f>
        <v>0</v>
      </c>
      <c r="R78" s="311">
        <f>E78</f>
        <v>0</v>
      </c>
      <c r="S78" s="309"/>
      <c r="T78" s="291">
        <f>'ORÇAMENTO GERAL'!$J$68</f>
        <v>1198.6500000000001</v>
      </c>
      <c r="U78" s="291">
        <f>'ORÇAMENTO GERAL'!$J$69</f>
        <v>14.63</v>
      </c>
      <c r="V78" s="291">
        <f>'ORÇAMENTO GERAL'!$J$70</f>
        <v>8.07</v>
      </c>
      <c r="W78" s="291">
        <f>'ORÇAMENTO GERAL'!$J$71</f>
        <v>3.54</v>
      </c>
      <c r="X78" s="291">
        <f>'ORÇAMENTO GERAL'!$J$72</f>
        <v>7.02</v>
      </c>
      <c r="Y78" s="291">
        <f>'ORÇAMENTO GERAL'!$J$73</f>
        <v>48.92</v>
      </c>
      <c r="Z78" s="291">
        <f>'ORÇAMENTO GERAL'!$J$74</f>
        <v>169.7</v>
      </c>
      <c r="AA78" s="291">
        <f>'ORÇAMENTO GERAL'!$J$75</f>
        <v>22.65</v>
      </c>
      <c r="AB78" s="291">
        <f>'ORÇAMENTO GERAL'!$J$76</f>
        <v>44.97</v>
      </c>
      <c r="AC78" s="291">
        <f>'ORÇAMENTO GERAL'!$J$77</f>
        <v>243.69</v>
      </c>
      <c r="AD78" s="291">
        <f>(E78*T78)+(I78*U78)+(J78*V78)+(K78*W78)+(L78*X78)+(M78*Y78)+(O78*Z78)+(P78*AA78)+(Q78*AB78)+(R78*AC78)</f>
        <v>0</v>
      </c>
    </row>
    <row r="79" spans="1:30" s="280" customFormat="1" ht="45" hidden="1" customHeight="1" x14ac:dyDescent="0.4">
      <c r="A79" s="284">
        <v>2</v>
      </c>
      <c r="B79" s="285" t="str">
        <f t="shared" ref="B79:B85" si="61">B63</f>
        <v>RUA MOCAJATUBA</v>
      </c>
      <c r="C79" s="292">
        <v>1</v>
      </c>
      <c r="D79" s="289"/>
      <c r="E79" s="288">
        <f>C79*D79</f>
        <v>0</v>
      </c>
      <c r="F79" s="288">
        <f t="shared" ref="F79:F97" si="62">1.44+0.5</f>
        <v>1.94</v>
      </c>
      <c r="G79" s="288">
        <f t="shared" ref="G79:G97" si="63">1.44+0.6</f>
        <v>2.04</v>
      </c>
      <c r="H79" s="288">
        <v>0.05</v>
      </c>
      <c r="I79" s="288">
        <f t="shared" ref="I79:I97" si="64">(E79*F79*G79)+(E79*G79*H79)</f>
        <v>0</v>
      </c>
      <c r="J79" s="289">
        <f t="shared" ref="J79:J97" si="65">N79</f>
        <v>0</v>
      </c>
      <c r="K79" s="311">
        <f t="shared" ref="K79:K97" si="66">J79*1.25*$K$13</f>
        <v>0</v>
      </c>
      <c r="L79" s="288">
        <f t="shared" ref="L79:L97" si="67">E79*F79</f>
        <v>0</v>
      </c>
      <c r="M79" s="289">
        <f t="shared" ref="M79:M97" si="68">L79</f>
        <v>0</v>
      </c>
      <c r="N79" s="288">
        <f t="shared" ref="N79:N97" si="69">(3.14*0.6^2)*E79</f>
        <v>0</v>
      </c>
      <c r="O79" s="288">
        <f t="shared" ref="O79:O97" si="70">(I79-N79)*70%</f>
        <v>0</v>
      </c>
      <c r="P79" s="288">
        <f t="shared" ref="P79:P97" si="71">(I79-N79)*30%</f>
        <v>0</v>
      </c>
      <c r="Q79" s="288">
        <f t="shared" ref="Q79:Q97" si="72">E79*G79*2</f>
        <v>0</v>
      </c>
      <c r="R79" s="311">
        <f t="shared" ref="R79:R97" si="73">E79</f>
        <v>0</v>
      </c>
      <c r="S79" s="309"/>
      <c r="T79" s="291">
        <f>'ORÇAMENTO GERAL'!$J$68</f>
        <v>1198.6500000000001</v>
      </c>
      <c r="U79" s="291">
        <f>'ORÇAMENTO GERAL'!$J$69</f>
        <v>14.63</v>
      </c>
      <c r="V79" s="291">
        <f>'ORÇAMENTO GERAL'!$J$70</f>
        <v>8.07</v>
      </c>
      <c r="W79" s="291">
        <f>'ORÇAMENTO GERAL'!$J$71</f>
        <v>3.54</v>
      </c>
      <c r="X79" s="291">
        <f>'ORÇAMENTO GERAL'!$J$72</f>
        <v>7.02</v>
      </c>
      <c r="Y79" s="291">
        <f>'ORÇAMENTO GERAL'!$J$73</f>
        <v>48.92</v>
      </c>
      <c r="Z79" s="291">
        <f>'ORÇAMENTO GERAL'!$J$74</f>
        <v>169.7</v>
      </c>
      <c r="AA79" s="291">
        <f>'ORÇAMENTO GERAL'!$J$75</f>
        <v>22.65</v>
      </c>
      <c r="AB79" s="291">
        <f>'ORÇAMENTO GERAL'!$J$76</f>
        <v>44.97</v>
      </c>
      <c r="AC79" s="291">
        <f>'ORÇAMENTO GERAL'!$J$77</f>
        <v>243.69</v>
      </c>
      <c r="AD79" s="291">
        <f t="shared" ref="AD79:AD97" si="74">(E79*T79)+(I79*U79)+(J79*V79)+(K79*W79)+(L79*X79)+(M79*Y79)+(O79*Z79)+(P79*AA79)+(Q79*AB79)+(R79*AC79)</f>
        <v>0</v>
      </c>
    </row>
    <row r="80" spans="1:30" s="280" customFormat="1" ht="45" hidden="1" customHeight="1" x14ac:dyDescent="0.4">
      <c r="A80" s="284">
        <v>3</v>
      </c>
      <c r="B80" s="285">
        <f t="shared" si="61"/>
        <v>0</v>
      </c>
      <c r="C80" s="292">
        <v>1</v>
      </c>
      <c r="D80" s="289"/>
      <c r="E80" s="288">
        <f t="shared" ref="E80:E97" si="75">C80*D80</f>
        <v>0</v>
      </c>
      <c r="F80" s="288">
        <f t="shared" si="62"/>
        <v>1.94</v>
      </c>
      <c r="G80" s="288">
        <f t="shared" si="63"/>
        <v>2.04</v>
      </c>
      <c r="H80" s="288">
        <v>0.05</v>
      </c>
      <c r="I80" s="288">
        <f t="shared" si="64"/>
        <v>0</v>
      </c>
      <c r="J80" s="289">
        <f t="shared" si="65"/>
        <v>0</v>
      </c>
      <c r="K80" s="311">
        <f t="shared" si="66"/>
        <v>0</v>
      </c>
      <c r="L80" s="288">
        <f t="shared" si="67"/>
        <v>0</v>
      </c>
      <c r="M80" s="289">
        <f t="shared" si="68"/>
        <v>0</v>
      </c>
      <c r="N80" s="288">
        <f t="shared" si="69"/>
        <v>0</v>
      </c>
      <c r="O80" s="288">
        <f t="shared" si="70"/>
        <v>0</v>
      </c>
      <c r="P80" s="288">
        <f t="shared" si="71"/>
        <v>0</v>
      </c>
      <c r="Q80" s="288">
        <f t="shared" si="72"/>
        <v>0</v>
      </c>
      <c r="R80" s="311">
        <f t="shared" si="73"/>
        <v>0</v>
      </c>
      <c r="S80" s="309"/>
      <c r="T80" s="291">
        <f>'ORÇAMENTO GERAL'!$J$68</f>
        <v>1198.6500000000001</v>
      </c>
      <c r="U80" s="291">
        <f>'ORÇAMENTO GERAL'!$J$69</f>
        <v>14.63</v>
      </c>
      <c r="V80" s="291">
        <f>'ORÇAMENTO GERAL'!$J$70</f>
        <v>8.07</v>
      </c>
      <c r="W80" s="291">
        <f>'ORÇAMENTO GERAL'!$J$71</f>
        <v>3.54</v>
      </c>
      <c r="X80" s="291">
        <f>'ORÇAMENTO GERAL'!$J$72</f>
        <v>7.02</v>
      </c>
      <c r="Y80" s="291">
        <f>'ORÇAMENTO GERAL'!$J$73</f>
        <v>48.92</v>
      </c>
      <c r="Z80" s="291">
        <f>'ORÇAMENTO GERAL'!$J$74</f>
        <v>169.7</v>
      </c>
      <c r="AA80" s="291">
        <f>'ORÇAMENTO GERAL'!$J$75</f>
        <v>22.65</v>
      </c>
      <c r="AB80" s="291">
        <f>'ORÇAMENTO GERAL'!$J$76</f>
        <v>44.97</v>
      </c>
      <c r="AC80" s="291">
        <f>'ORÇAMENTO GERAL'!$J$77</f>
        <v>243.69</v>
      </c>
      <c r="AD80" s="291">
        <f t="shared" si="74"/>
        <v>0</v>
      </c>
    </row>
    <row r="81" spans="1:30" s="280" customFormat="1" ht="45" hidden="1" customHeight="1" x14ac:dyDescent="0.4">
      <c r="A81" s="284">
        <v>4</v>
      </c>
      <c r="B81" s="285">
        <f t="shared" si="61"/>
        <v>0</v>
      </c>
      <c r="C81" s="292">
        <v>1</v>
      </c>
      <c r="D81" s="289"/>
      <c r="E81" s="288">
        <f t="shared" si="75"/>
        <v>0</v>
      </c>
      <c r="F81" s="288">
        <f t="shared" si="62"/>
        <v>1.94</v>
      </c>
      <c r="G81" s="288">
        <f t="shared" si="63"/>
        <v>2.04</v>
      </c>
      <c r="H81" s="288">
        <v>0.05</v>
      </c>
      <c r="I81" s="288">
        <f t="shared" si="64"/>
        <v>0</v>
      </c>
      <c r="J81" s="289">
        <f t="shared" si="65"/>
        <v>0</v>
      </c>
      <c r="K81" s="311">
        <f t="shared" si="66"/>
        <v>0</v>
      </c>
      <c r="L81" s="288">
        <f t="shared" si="67"/>
        <v>0</v>
      </c>
      <c r="M81" s="289">
        <f t="shared" si="68"/>
        <v>0</v>
      </c>
      <c r="N81" s="288">
        <f t="shared" si="69"/>
        <v>0</v>
      </c>
      <c r="O81" s="288">
        <f t="shared" si="70"/>
        <v>0</v>
      </c>
      <c r="P81" s="288">
        <f t="shared" si="71"/>
        <v>0</v>
      </c>
      <c r="Q81" s="288">
        <f t="shared" si="72"/>
        <v>0</v>
      </c>
      <c r="R81" s="311">
        <f t="shared" si="73"/>
        <v>0</v>
      </c>
      <c r="S81" s="309"/>
      <c r="T81" s="291">
        <f>'ORÇAMENTO GERAL'!$J$68</f>
        <v>1198.6500000000001</v>
      </c>
      <c r="U81" s="291">
        <f>'ORÇAMENTO GERAL'!$J$69</f>
        <v>14.63</v>
      </c>
      <c r="V81" s="291">
        <f>'ORÇAMENTO GERAL'!$J$70</f>
        <v>8.07</v>
      </c>
      <c r="W81" s="291">
        <f>'ORÇAMENTO GERAL'!$J$71</f>
        <v>3.54</v>
      </c>
      <c r="X81" s="291">
        <f>'ORÇAMENTO GERAL'!$J$72</f>
        <v>7.02</v>
      </c>
      <c r="Y81" s="291">
        <f>'ORÇAMENTO GERAL'!$J$73</f>
        <v>48.92</v>
      </c>
      <c r="Z81" s="291">
        <f>'ORÇAMENTO GERAL'!$J$74</f>
        <v>169.7</v>
      </c>
      <c r="AA81" s="291">
        <f>'ORÇAMENTO GERAL'!$J$75</f>
        <v>22.65</v>
      </c>
      <c r="AB81" s="291">
        <f>'ORÇAMENTO GERAL'!$J$76</f>
        <v>44.97</v>
      </c>
      <c r="AC81" s="291">
        <f>'ORÇAMENTO GERAL'!$J$77</f>
        <v>243.69</v>
      </c>
      <c r="AD81" s="291">
        <f t="shared" si="74"/>
        <v>0</v>
      </c>
    </row>
    <row r="82" spans="1:30" s="280" customFormat="1" ht="45" hidden="1" customHeight="1" x14ac:dyDescent="0.4">
      <c r="A82" s="284">
        <v>5</v>
      </c>
      <c r="B82" s="285">
        <f t="shared" si="61"/>
        <v>0</v>
      </c>
      <c r="C82" s="292">
        <v>1</v>
      </c>
      <c r="D82" s="289"/>
      <c r="E82" s="288">
        <f t="shared" si="75"/>
        <v>0</v>
      </c>
      <c r="F82" s="288">
        <f t="shared" si="62"/>
        <v>1.94</v>
      </c>
      <c r="G82" s="288">
        <f t="shared" si="63"/>
        <v>2.04</v>
      </c>
      <c r="H82" s="288">
        <v>0.05</v>
      </c>
      <c r="I82" s="288">
        <f t="shared" si="64"/>
        <v>0</v>
      </c>
      <c r="J82" s="289">
        <f t="shared" si="65"/>
        <v>0</v>
      </c>
      <c r="K82" s="311">
        <f t="shared" si="66"/>
        <v>0</v>
      </c>
      <c r="L82" s="288">
        <f t="shared" si="67"/>
        <v>0</v>
      </c>
      <c r="M82" s="289">
        <f t="shared" si="68"/>
        <v>0</v>
      </c>
      <c r="N82" s="288">
        <f t="shared" si="69"/>
        <v>0</v>
      </c>
      <c r="O82" s="288">
        <f t="shared" si="70"/>
        <v>0</v>
      </c>
      <c r="P82" s="288">
        <f t="shared" si="71"/>
        <v>0</v>
      </c>
      <c r="Q82" s="288">
        <f t="shared" si="72"/>
        <v>0</v>
      </c>
      <c r="R82" s="311">
        <f t="shared" si="73"/>
        <v>0</v>
      </c>
      <c r="S82" s="309"/>
      <c r="T82" s="291">
        <f>'ORÇAMENTO GERAL'!$J$68</f>
        <v>1198.6500000000001</v>
      </c>
      <c r="U82" s="291">
        <f>'ORÇAMENTO GERAL'!$J$69</f>
        <v>14.63</v>
      </c>
      <c r="V82" s="291">
        <f>'ORÇAMENTO GERAL'!$J$70</f>
        <v>8.07</v>
      </c>
      <c r="W82" s="291">
        <f>'ORÇAMENTO GERAL'!$J$71</f>
        <v>3.54</v>
      </c>
      <c r="X82" s="291">
        <f>'ORÇAMENTO GERAL'!$J$72</f>
        <v>7.02</v>
      </c>
      <c r="Y82" s="291">
        <f>'ORÇAMENTO GERAL'!$J$73</f>
        <v>48.92</v>
      </c>
      <c r="Z82" s="291">
        <f>'ORÇAMENTO GERAL'!$J$74</f>
        <v>169.7</v>
      </c>
      <c r="AA82" s="291">
        <f>'ORÇAMENTO GERAL'!$J$75</f>
        <v>22.65</v>
      </c>
      <c r="AB82" s="291">
        <f>'ORÇAMENTO GERAL'!$J$76</f>
        <v>44.97</v>
      </c>
      <c r="AC82" s="291">
        <f>'ORÇAMENTO GERAL'!$J$77</f>
        <v>243.69</v>
      </c>
      <c r="AD82" s="291">
        <f t="shared" si="74"/>
        <v>0</v>
      </c>
    </row>
    <row r="83" spans="1:30" s="280" customFormat="1" ht="45" hidden="1" customHeight="1" x14ac:dyDescent="0.4">
      <c r="A83" s="284">
        <v>6</v>
      </c>
      <c r="B83" s="285">
        <f t="shared" si="61"/>
        <v>0</v>
      </c>
      <c r="C83" s="292">
        <v>1</v>
      </c>
      <c r="D83" s="289"/>
      <c r="E83" s="288">
        <f t="shared" si="75"/>
        <v>0</v>
      </c>
      <c r="F83" s="288">
        <f t="shared" si="62"/>
        <v>1.94</v>
      </c>
      <c r="G83" s="288">
        <f t="shared" si="63"/>
        <v>2.04</v>
      </c>
      <c r="H83" s="288">
        <v>0.05</v>
      </c>
      <c r="I83" s="288">
        <f t="shared" si="64"/>
        <v>0</v>
      </c>
      <c r="J83" s="289">
        <f t="shared" si="65"/>
        <v>0</v>
      </c>
      <c r="K83" s="311">
        <f t="shared" si="66"/>
        <v>0</v>
      </c>
      <c r="L83" s="288">
        <f t="shared" si="67"/>
        <v>0</v>
      </c>
      <c r="M83" s="289">
        <f t="shared" si="68"/>
        <v>0</v>
      </c>
      <c r="N83" s="288">
        <f t="shared" si="69"/>
        <v>0</v>
      </c>
      <c r="O83" s="288">
        <f t="shared" si="70"/>
        <v>0</v>
      </c>
      <c r="P83" s="288">
        <f t="shared" si="71"/>
        <v>0</v>
      </c>
      <c r="Q83" s="288">
        <f t="shared" si="72"/>
        <v>0</v>
      </c>
      <c r="R83" s="311">
        <f t="shared" si="73"/>
        <v>0</v>
      </c>
      <c r="S83" s="309"/>
      <c r="T83" s="291">
        <f>'ORÇAMENTO GERAL'!$J$68</f>
        <v>1198.6500000000001</v>
      </c>
      <c r="U83" s="291">
        <f>'ORÇAMENTO GERAL'!$J$69</f>
        <v>14.63</v>
      </c>
      <c r="V83" s="291">
        <f>'ORÇAMENTO GERAL'!$J$70</f>
        <v>8.07</v>
      </c>
      <c r="W83" s="291">
        <f>'ORÇAMENTO GERAL'!$J$71</f>
        <v>3.54</v>
      </c>
      <c r="X83" s="291">
        <f>'ORÇAMENTO GERAL'!$J$72</f>
        <v>7.02</v>
      </c>
      <c r="Y83" s="291">
        <f>'ORÇAMENTO GERAL'!$J$73</f>
        <v>48.92</v>
      </c>
      <c r="Z83" s="291">
        <f>'ORÇAMENTO GERAL'!$J$74</f>
        <v>169.7</v>
      </c>
      <c r="AA83" s="291">
        <f>'ORÇAMENTO GERAL'!$J$75</f>
        <v>22.65</v>
      </c>
      <c r="AB83" s="291">
        <f>'ORÇAMENTO GERAL'!$J$76</f>
        <v>44.97</v>
      </c>
      <c r="AC83" s="291">
        <f>'ORÇAMENTO GERAL'!$J$77</f>
        <v>243.69</v>
      </c>
      <c r="AD83" s="291">
        <f t="shared" si="74"/>
        <v>0</v>
      </c>
    </row>
    <row r="84" spans="1:30" s="280" customFormat="1" ht="45" hidden="1" customHeight="1" x14ac:dyDescent="0.4">
      <c r="A84" s="284">
        <v>7</v>
      </c>
      <c r="B84" s="285">
        <f t="shared" si="61"/>
        <v>0</v>
      </c>
      <c r="C84" s="292">
        <v>1</v>
      </c>
      <c r="D84" s="289"/>
      <c r="E84" s="288">
        <f t="shared" si="75"/>
        <v>0</v>
      </c>
      <c r="F84" s="288">
        <f t="shared" si="62"/>
        <v>1.94</v>
      </c>
      <c r="G84" s="288">
        <f t="shared" si="63"/>
        <v>2.04</v>
      </c>
      <c r="H84" s="288">
        <v>0.05</v>
      </c>
      <c r="I84" s="288">
        <f t="shared" si="64"/>
        <v>0</v>
      </c>
      <c r="J84" s="289">
        <f t="shared" si="65"/>
        <v>0</v>
      </c>
      <c r="K84" s="311">
        <f t="shared" si="66"/>
        <v>0</v>
      </c>
      <c r="L84" s="288">
        <f t="shared" si="67"/>
        <v>0</v>
      </c>
      <c r="M84" s="289">
        <f t="shared" si="68"/>
        <v>0</v>
      </c>
      <c r="N84" s="288">
        <f t="shared" si="69"/>
        <v>0</v>
      </c>
      <c r="O84" s="288">
        <f t="shared" si="70"/>
        <v>0</v>
      </c>
      <c r="P84" s="288">
        <f t="shared" si="71"/>
        <v>0</v>
      </c>
      <c r="Q84" s="288">
        <f t="shared" si="72"/>
        <v>0</v>
      </c>
      <c r="R84" s="311">
        <f t="shared" si="73"/>
        <v>0</v>
      </c>
      <c r="S84" s="309"/>
      <c r="T84" s="291">
        <f>'ORÇAMENTO GERAL'!$J$68</f>
        <v>1198.6500000000001</v>
      </c>
      <c r="U84" s="291">
        <f>'ORÇAMENTO GERAL'!$J$69</f>
        <v>14.63</v>
      </c>
      <c r="V84" s="291">
        <f>'ORÇAMENTO GERAL'!$J$70</f>
        <v>8.07</v>
      </c>
      <c r="W84" s="291">
        <f>'ORÇAMENTO GERAL'!$J$71</f>
        <v>3.54</v>
      </c>
      <c r="X84" s="291">
        <f>'ORÇAMENTO GERAL'!$J$72</f>
        <v>7.02</v>
      </c>
      <c r="Y84" s="291">
        <f>'ORÇAMENTO GERAL'!$J$73</f>
        <v>48.92</v>
      </c>
      <c r="Z84" s="291">
        <f>'ORÇAMENTO GERAL'!$J$74</f>
        <v>169.7</v>
      </c>
      <c r="AA84" s="291">
        <f>'ORÇAMENTO GERAL'!$J$75</f>
        <v>22.65</v>
      </c>
      <c r="AB84" s="291">
        <f>'ORÇAMENTO GERAL'!$J$76</f>
        <v>44.97</v>
      </c>
      <c r="AC84" s="291">
        <f>'ORÇAMENTO GERAL'!$J$77</f>
        <v>243.69</v>
      </c>
      <c r="AD84" s="291">
        <f t="shared" si="74"/>
        <v>0</v>
      </c>
    </row>
    <row r="85" spans="1:30" s="280" customFormat="1" ht="45" hidden="1" customHeight="1" x14ac:dyDescent="0.4">
      <c r="A85" s="284">
        <v>8</v>
      </c>
      <c r="B85" s="285">
        <f t="shared" si="61"/>
        <v>0</v>
      </c>
      <c r="C85" s="292">
        <v>1</v>
      </c>
      <c r="D85" s="289"/>
      <c r="E85" s="288">
        <f t="shared" si="75"/>
        <v>0</v>
      </c>
      <c r="F85" s="288">
        <f t="shared" si="62"/>
        <v>1.94</v>
      </c>
      <c r="G85" s="288">
        <f t="shared" si="63"/>
        <v>2.04</v>
      </c>
      <c r="H85" s="288">
        <v>0.05</v>
      </c>
      <c r="I85" s="288">
        <f t="shared" si="64"/>
        <v>0</v>
      </c>
      <c r="J85" s="289">
        <f t="shared" si="65"/>
        <v>0</v>
      </c>
      <c r="K85" s="311">
        <f t="shared" si="66"/>
        <v>0</v>
      </c>
      <c r="L85" s="288">
        <f t="shared" si="67"/>
        <v>0</v>
      </c>
      <c r="M85" s="289">
        <f t="shared" si="68"/>
        <v>0</v>
      </c>
      <c r="N85" s="288">
        <f t="shared" si="69"/>
        <v>0</v>
      </c>
      <c r="O85" s="288">
        <f t="shared" si="70"/>
        <v>0</v>
      </c>
      <c r="P85" s="288">
        <f t="shared" si="71"/>
        <v>0</v>
      </c>
      <c r="Q85" s="288">
        <f t="shared" si="72"/>
        <v>0</v>
      </c>
      <c r="R85" s="311">
        <f t="shared" si="73"/>
        <v>0</v>
      </c>
      <c r="S85" s="309"/>
      <c r="T85" s="291">
        <f>'ORÇAMENTO GERAL'!$J$68</f>
        <v>1198.6500000000001</v>
      </c>
      <c r="U85" s="291">
        <f>'ORÇAMENTO GERAL'!$J$69</f>
        <v>14.63</v>
      </c>
      <c r="V85" s="291">
        <f>'ORÇAMENTO GERAL'!$J$70</f>
        <v>8.07</v>
      </c>
      <c r="W85" s="291">
        <f>'ORÇAMENTO GERAL'!$J$71</f>
        <v>3.54</v>
      </c>
      <c r="X85" s="291">
        <f>'ORÇAMENTO GERAL'!$J$72</f>
        <v>7.02</v>
      </c>
      <c r="Y85" s="291">
        <f>'ORÇAMENTO GERAL'!$J$73</f>
        <v>48.92</v>
      </c>
      <c r="Z85" s="291">
        <f>'ORÇAMENTO GERAL'!$J$74</f>
        <v>169.7</v>
      </c>
      <c r="AA85" s="291">
        <f>'ORÇAMENTO GERAL'!$J$75</f>
        <v>22.65</v>
      </c>
      <c r="AB85" s="291">
        <f>'ORÇAMENTO GERAL'!$J$76</f>
        <v>44.97</v>
      </c>
      <c r="AC85" s="291">
        <f>'ORÇAMENTO GERAL'!$J$77</f>
        <v>243.69</v>
      </c>
      <c r="AD85" s="291">
        <f t="shared" si="74"/>
        <v>0</v>
      </c>
    </row>
    <row r="86" spans="1:30" s="280" customFormat="1" ht="45" hidden="1" customHeight="1" x14ac:dyDescent="0.4">
      <c r="A86" s="284">
        <v>9</v>
      </c>
      <c r="B86" s="285">
        <f>B70</f>
        <v>0</v>
      </c>
      <c r="C86" s="292">
        <v>1</v>
      </c>
      <c r="D86" s="289"/>
      <c r="E86" s="288">
        <f t="shared" si="75"/>
        <v>0</v>
      </c>
      <c r="F86" s="288">
        <f t="shared" si="62"/>
        <v>1.94</v>
      </c>
      <c r="G86" s="288">
        <f t="shared" si="63"/>
        <v>2.04</v>
      </c>
      <c r="H86" s="288">
        <v>0.05</v>
      </c>
      <c r="I86" s="288">
        <f t="shared" si="64"/>
        <v>0</v>
      </c>
      <c r="J86" s="289">
        <f t="shared" si="65"/>
        <v>0</v>
      </c>
      <c r="K86" s="311">
        <f t="shared" si="66"/>
        <v>0</v>
      </c>
      <c r="L86" s="288">
        <f t="shared" si="67"/>
        <v>0</v>
      </c>
      <c r="M86" s="289">
        <f t="shared" si="68"/>
        <v>0</v>
      </c>
      <c r="N86" s="288">
        <f t="shared" si="69"/>
        <v>0</v>
      </c>
      <c r="O86" s="288">
        <f t="shared" si="70"/>
        <v>0</v>
      </c>
      <c r="P86" s="288">
        <f t="shared" si="71"/>
        <v>0</v>
      </c>
      <c r="Q86" s="288">
        <f t="shared" si="72"/>
        <v>0</v>
      </c>
      <c r="R86" s="311">
        <f t="shared" si="73"/>
        <v>0</v>
      </c>
      <c r="S86" s="309"/>
      <c r="T86" s="291">
        <f>'ORÇAMENTO GERAL'!$J$68</f>
        <v>1198.6500000000001</v>
      </c>
      <c r="U86" s="291">
        <f>'ORÇAMENTO GERAL'!$J$69</f>
        <v>14.63</v>
      </c>
      <c r="V86" s="291">
        <f>'ORÇAMENTO GERAL'!$J$70</f>
        <v>8.07</v>
      </c>
      <c r="W86" s="291">
        <f>'ORÇAMENTO GERAL'!$J$71</f>
        <v>3.54</v>
      </c>
      <c r="X86" s="291">
        <f>'ORÇAMENTO GERAL'!$J$72</f>
        <v>7.02</v>
      </c>
      <c r="Y86" s="291">
        <f>'ORÇAMENTO GERAL'!$J$73</f>
        <v>48.92</v>
      </c>
      <c r="Z86" s="291">
        <f>'ORÇAMENTO GERAL'!$J$74</f>
        <v>169.7</v>
      </c>
      <c r="AA86" s="291">
        <f>'ORÇAMENTO GERAL'!$J$75</f>
        <v>22.65</v>
      </c>
      <c r="AB86" s="291">
        <f>'ORÇAMENTO GERAL'!$J$76</f>
        <v>44.97</v>
      </c>
      <c r="AC86" s="291">
        <f>'ORÇAMENTO GERAL'!$J$77</f>
        <v>243.69</v>
      </c>
      <c r="AD86" s="291">
        <f t="shared" si="74"/>
        <v>0</v>
      </c>
    </row>
    <row r="87" spans="1:30" s="280" customFormat="1" ht="45" hidden="1" customHeight="1" x14ac:dyDescent="0.4">
      <c r="A87" s="284">
        <v>10</v>
      </c>
      <c r="B87" s="285"/>
      <c r="C87" s="292">
        <v>1</v>
      </c>
      <c r="D87" s="289"/>
      <c r="E87" s="288">
        <f t="shared" si="75"/>
        <v>0</v>
      </c>
      <c r="F87" s="288">
        <f t="shared" si="62"/>
        <v>1.94</v>
      </c>
      <c r="G87" s="288">
        <f t="shared" si="63"/>
        <v>2.04</v>
      </c>
      <c r="H87" s="288">
        <v>0.05</v>
      </c>
      <c r="I87" s="288">
        <f t="shared" si="64"/>
        <v>0</v>
      </c>
      <c r="J87" s="289">
        <f t="shared" si="65"/>
        <v>0</v>
      </c>
      <c r="K87" s="311">
        <f t="shared" si="66"/>
        <v>0</v>
      </c>
      <c r="L87" s="288">
        <f t="shared" si="67"/>
        <v>0</v>
      </c>
      <c r="M87" s="289">
        <f t="shared" si="68"/>
        <v>0</v>
      </c>
      <c r="N87" s="288">
        <f t="shared" si="69"/>
        <v>0</v>
      </c>
      <c r="O87" s="288">
        <f t="shared" si="70"/>
        <v>0</v>
      </c>
      <c r="P87" s="288">
        <f t="shared" si="71"/>
        <v>0</v>
      </c>
      <c r="Q87" s="288">
        <f t="shared" si="72"/>
        <v>0</v>
      </c>
      <c r="R87" s="311">
        <f t="shared" si="73"/>
        <v>0</v>
      </c>
      <c r="S87" s="309"/>
      <c r="T87" s="291">
        <f>'ORÇAMENTO GERAL'!$J$68</f>
        <v>1198.6500000000001</v>
      </c>
      <c r="U87" s="291">
        <f>'ORÇAMENTO GERAL'!$J$69</f>
        <v>14.63</v>
      </c>
      <c r="V87" s="291">
        <f>'ORÇAMENTO GERAL'!$J$70</f>
        <v>8.07</v>
      </c>
      <c r="W87" s="291">
        <f>'ORÇAMENTO GERAL'!$J$71</f>
        <v>3.54</v>
      </c>
      <c r="X87" s="291">
        <f>'ORÇAMENTO GERAL'!$J$72</f>
        <v>7.02</v>
      </c>
      <c r="Y87" s="291">
        <f>'ORÇAMENTO GERAL'!$J$73</f>
        <v>48.92</v>
      </c>
      <c r="Z87" s="291">
        <f>'ORÇAMENTO GERAL'!$J$74</f>
        <v>169.7</v>
      </c>
      <c r="AA87" s="291">
        <f>'ORÇAMENTO GERAL'!$J$75</f>
        <v>22.65</v>
      </c>
      <c r="AB87" s="291">
        <f>'ORÇAMENTO GERAL'!$J$76</f>
        <v>44.97</v>
      </c>
      <c r="AC87" s="291">
        <f>'ORÇAMENTO GERAL'!$J$77</f>
        <v>243.69</v>
      </c>
      <c r="AD87" s="291">
        <f t="shared" si="74"/>
        <v>0</v>
      </c>
    </row>
    <row r="88" spans="1:30" s="280" customFormat="1" ht="45" hidden="1" customHeight="1" x14ac:dyDescent="0.4">
      <c r="A88" s="284">
        <v>11</v>
      </c>
      <c r="B88" s="285"/>
      <c r="C88" s="292">
        <v>1</v>
      </c>
      <c r="D88" s="289"/>
      <c r="E88" s="288">
        <f t="shared" si="75"/>
        <v>0</v>
      </c>
      <c r="F88" s="288">
        <f t="shared" si="62"/>
        <v>1.94</v>
      </c>
      <c r="G88" s="288">
        <f t="shared" si="63"/>
        <v>2.04</v>
      </c>
      <c r="H88" s="288">
        <v>0.05</v>
      </c>
      <c r="I88" s="288">
        <f t="shared" si="64"/>
        <v>0</v>
      </c>
      <c r="J88" s="289">
        <f t="shared" si="65"/>
        <v>0</v>
      </c>
      <c r="K88" s="311">
        <f t="shared" si="66"/>
        <v>0</v>
      </c>
      <c r="L88" s="288">
        <f t="shared" si="67"/>
        <v>0</v>
      </c>
      <c r="M88" s="289">
        <f t="shared" si="68"/>
        <v>0</v>
      </c>
      <c r="N88" s="288">
        <f t="shared" si="69"/>
        <v>0</v>
      </c>
      <c r="O88" s="288">
        <f t="shared" si="70"/>
        <v>0</v>
      </c>
      <c r="P88" s="288">
        <f t="shared" si="71"/>
        <v>0</v>
      </c>
      <c r="Q88" s="288">
        <f t="shared" si="72"/>
        <v>0</v>
      </c>
      <c r="R88" s="311">
        <f t="shared" si="73"/>
        <v>0</v>
      </c>
      <c r="S88" s="309"/>
      <c r="T88" s="291">
        <f>'ORÇAMENTO GERAL'!$J$68</f>
        <v>1198.6500000000001</v>
      </c>
      <c r="U88" s="291">
        <f>'ORÇAMENTO GERAL'!$J$69</f>
        <v>14.63</v>
      </c>
      <c r="V88" s="291">
        <f>'ORÇAMENTO GERAL'!$J$70</f>
        <v>8.07</v>
      </c>
      <c r="W88" s="291">
        <f>'ORÇAMENTO GERAL'!$J$71</f>
        <v>3.54</v>
      </c>
      <c r="X88" s="291">
        <f>'ORÇAMENTO GERAL'!$J$72</f>
        <v>7.02</v>
      </c>
      <c r="Y88" s="291">
        <f>'ORÇAMENTO GERAL'!$J$73</f>
        <v>48.92</v>
      </c>
      <c r="Z88" s="291">
        <f>'ORÇAMENTO GERAL'!$J$74</f>
        <v>169.7</v>
      </c>
      <c r="AA88" s="291">
        <f>'ORÇAMENTO GERAL'!$J$75</f>
        <v>22.65</v>
      </c>
      <c r="AB88" s="291">
        <f>'ORÇAMENTO GERAL'!$J$76</f>
        <v>44.97</v>
      </c>
      <c r="AC88" s="291">
        <f>'ORÇAMENTO GERAL'!$J$77</f>
        <v>243.69</v>
      </c>
      <c r="AD88" s="291">
        <f t="shared" si="74"/>
        <v>0</v>
      </c>
    </row>
    <row r="89" spans="1:30" s="280" customFormat="1" ht="45" hidden="1" customHeight="1" x14ac:dyDescent="0.4">
      <c r="A89" s="284">
        <v>12</v>
      </c>
      <c r="B89" s="285"/>
      <c r="C89" s="292">
        <v>1</v>
      </c>
      <c r="D89" s="289"/>
      <c r="E89" s="288">
        <f t="shared" si="75"/>
        <v>0</v>
      </c>
      <c r="F89" s="288">
        <f t="shared" si="62"/>
        <v>1.94</v>
      </c>
      <c r="G89" s="288">
        <f t="shared" si="63"/>
        <v>2.04</v>
      </c>
      <c r="H89" s="288">
        <v>0.05</v>
      </c>
      <c r="I89" s="288">
        <f t="shared" si="64"/>
        <v>0</v>
      </c>
      <c r="J89" s="289">
        <f t="shared" si="65"/>
        <v>0</v>
      </c>
      <c r="K89" s="311">
        <f t="shared" si="66"/>
        <v>0</v>
      </c>
      <c r="L89" s="288">
        <f t="shared" si="67"/>
        <v>0</v>
      </c>
      <c r="M89" s="289">
        <f t="shared" si="68"/>
        <v>0</v>
      </c>
      <c r="N89" s="288">
        <f t="shared" si="69"/>
        <v>0</v>
      </c>
      <c r="O89" s="288">
        <f t="shared" si="70"/>
        <v>0</v>
      </c>
      <c r="P89" s="288">
        <f t="shared" si="71"/>
        <v>0</v>
      </c>
      <c r="Q89" s="288">
        <f t="shared" si="72"/>
        <v>0</v>
      </c>
      <c r="R89" s="311">
        <f t="shared" si="73"/>
        <v>0</v>
      </c>
      <c r="S89" s="309"/>
      <c r="T89" s="291">
        <f>'ORÇAMENTO GERAL'!$J$68</f>
        <v>1198.6500000000001</v>
      </c>
      <c r="U89" s="291">
        <f>'ORÇAMENTO GERAL'!$J$69</f>
        <v>14.63</v>
      </c>
      <c r="V89" s="291">
        <f>'ORÇAMENTO GERAL'!$J$70</f>
        <v>8.07</v>
      </c>
      <c r="W89" s="291">
        <f>'ORÇAMENTO GERAL'!$J$71</f>
        <v>3.54</v>
      </c>
      <c r="X89" s="291">
        <f>'ORÇAMENTO GERAL'!$J$72</f>
        <v>7.02</v>
      </c>
      <c r="Y89" s="291">
        <f>'ORÇAMENTO GERAL'!$J$73</f>
        <v>48.92</v>
      </c>
      <c r="Z89" s="291">
        <f>'ORÇAMENTO GERAL'!$J$74</f>
        <v>169.7</v>
      </c>
      <c r="AA89" s="291">
        <f>'ORÇAMENTO GERAL'!$J$75</f>
        <v>22.65</v>
      </c>
      <c r="AB89" s="291">
        <f>'ORÇAMENTO GERAL'!$J$76</f>
        <v>44.97</v>
      </c>
      <c r="AC89" s="291">
        <f>'ORÇAMENTO GERAL'!$J$77</f>
        <v>243.69</v>
      </c>
      <c r="AD89" s="291">
        <f t="shared" si="74"/>
        <v>0</v>
      </c>
    </row>
    <row r="90" spans="1:30" s="280" customFormat="1" ht="45" hidden="1" customHeight="1" x14ac:dyDescent="0.4">
      <c r="A90" s="284">
        <v>13</v>
      </c>
      <c r="B90" s="285">
        <f t="shared" ref="B90:B97" si="76">B33</f>
        <v>0</v>
      </c>
      <c r="C90" s="292">
        <v>1</v>
      </c>
      <c r="D90" s="289"/>
      <c r="E90" s="288">
        <f t="shared" si="75"/>
        <v>0</v>
      </c>
      <c r="F90" s="288">
        <f t="shared" si="62"/>
        <v>1.94</v>
      </c>
      <c r="G90" s="288">
        <f t="shared" si="63"/>
        <v>2.04</v>
      </c>
      <c r="H90" s="288">
        <v>0.05</v>
      </c>
      <c r="I90" s="288">
        <f t="shared" si="64"/>
        <v>0</v>
      </c>
      <c r="J90" s="289">
        <f t="shared" si="65"/>
        <v>0</v>
      </c>
      <c r="K90" s="311">
        <f t="shared" si="66"/>
        <v>0</v>
      </c>
      <c r="L90" s="288">
        <f t="shared" si="67"/>
        <v>0</v>
      </c>
      <c r="M90" s="289">
        <f t="shared" si="68"/>
        <v>0</v>
      </c>
      <c r="N90" s="288">
        <f t="shared" si="69"/>
        <v>0</v>
      </c>
      <c r="O90" s="288">
        <f t="shared" si="70"/>
        <v>0</v>
      </c>
      <c r="P90" s="288">
        <f t="shared" si="71"/>
        <v>0</v>
      </c>
      <c r="Q90" s="288">
        <f t="shared" si="72"/>
        <v>0</v>
      </c>
      <c r="R90" s="311">
        <f t="shared" si="73"/>
        <v>0</v>
      </c>
      <c r="S90" s="309"/>
      <c r="T90" s="291">
        <f>'ORÇAMENTO GERAL'!$J$68</f>
        <v>1198.6500000000001</v>
      </c>
      <c r="U90" s="291">
        <f>'ORÇAMENTO GERAL'!$J$69</f>
        <v>14.63</v>
      </c>
      <c r="V90" s="291">
        <f>'ORÇAMENTO GERAL'!$J$70</f>
        <v>8.07</v>
      </c>
      <c r="W90" s="291">
        <f>'ORÇAMENTO GERAL'!$J$71</f>
        <v>3.54</v>
      </c>
      <c r="X90" s="291">
        <f>'ORÇAMENTO GERAL'!$J$72</f>
        <v>7.02</v>
      </c>
      <c r="Y90" s="291">
        <f>'ORÇAMENTO GERAL'!$J$73</f>
        <v>48.92</v>
      </c>
      <c r="Z90" s="291">
        <f>'ORÇAMENTO GERAL'!$J$74</f>
        <v>169.7</v>
      </c>
      <c r="AA90" s="291">
        <f>'ORÇAMENTO GERAL'!$J$75</f>
        <v>22.65</v>
      </c>
      <c r="AB90" s="291">
        <f>'ORÇAMENTO GERAL'!$J$76</f>
        <v>44.97</v>
      </c>
      <c r="AC90" s="291">
        <f>'ORÇAMENTO GERAL'!$J$77</f>
        <v>243.69</v>
      </c>
      <c r="AD90" s="291">
        <f t="shared" si="74"/>
        <v>0</v>
      </c>
    </row>
    <row r="91" spans="1:30" s="280" customFormat="1" ht="45" hidden="1" customHeight="1" x14ac:dyDescent="0.4">
      <c r="A91" s="284">
        <v>14</v>
      </c>
      <c r="B91" s="285">
        <f t="shared" si="76"/>
        <v>0</v>
      </c>
      <c r="C91" s="292">
        <v>1</v>
      </c>
      <c r="D91" s="289"/>
      <c r="E91" s="288">
        <f t="shared" si="75"/>
        <v>0</v>
      </c>
      <c r="F91" s="288">
        <f t="shared" si="62"/>
        <v>1.94</v>
      </c>
      <c r="G91" s="288">
        <f t="shared" si="63"/>
        <v>2.04</v>
      </c>
      <c r="H91" s="288">
        <v>0.05</v>
      </c>
      <c r="I91" s="288">
        <f t="shared" si="64"/>
        <v>0</v>
      </c>
      <c r="J91" s="289">
        <f t="shared" si="65"/>
        <v>0</v>
      </c>
      <c r="K91" s="311">
        <f t="shared" si="66"/>
        <v>0</v>
      </c>
      <c r="L91" s="288">
        <f t="shared" si="67"/>
        <v>0</v>
      </c>
      <c r="M91" s="289">
        <f t="shared" si="68"/>
        <v>0</v>
      </c>
      <c r="N91" s="288">
        <f t="shared" si="69"/>
        <v>0</v>
      </c>
      <c r="O91" s="288">
        <f t="shared" si="70"/>
        <v>0</v>
      </c>
      <c r="P91" s="288">
        <f t="shared" si="71"/>
        <v>0</v>
      </c>
      <c r="Q91" s="288">
        <f t="shared" si="72"/>
        <v>0</v>
      </c>
      <c r="R91" s="311">
        <f t="shared" si="73"/>
        <v>0</v>
      </c>
      <c r="S91" s="309"/>
      <c r="T91" s="291">
        <f>'ORÇAMENTO GERAL'!$J$68</f>
        <v>1198.6500000000001</v>
      </c>
      <c r="U91" s="291">
        <f>'ORÇAMENTO GERAL'!$J$69</f>
        <v>14.63</v>
      </c>
      <c r="V91" s="291">
        <f>'ORÇAMENTO GERAL'!$J$70</f>
        <v>8.07</v>
      </c>
      <c r="W91" s="291">
        <f>'ORÇAMENTO GERAL'!$J$71</f>
        <v>3.54</v>
      </c>
      <c r="X91" s="291">
        <f>'ORÇAMENTO GERAL'!$J$72</f>
        <v>7.02</v>
      </c>
      <c r="Y91" s="291">
        <f>'ORÇAMENTO GERAL'!$J$73</f>
        <v>48.92</v>
      </c>
      <c r="Z91" s="291">
        <f>'ORÇAMENTO GERAL'!$J$74</f>
        <v>169.7</v>
      </c>
      <c r="AA91" s="291">
        <f>'ORÇAMENTO GERAL'!$J$75</f>
        <v>22.65</v>
      </c>
      <c r="AB91" s="291">
        <f>'ORÇAMENTO GERAL'!$J$76</f>
        <v>44.97</v>
      </c>
      <c r="AC91" s="291">
        <f>'ORÇAMENTO GERAL'!$J$77</f>
        <v>243.69</v>
      </c>
      <c r="AD91" s="291">
        <f t="shared" si="74"/>
        <v>0</v>
      </c>
    </row>
    <row r="92" spans="1:30" s="280" customFormat="1" ht="45" hidden="1" customHeight="1" x14ac:dyDescent="0.4">
      <c r="A92" s="284">
        <v>15</v>
      </c>
      <c r="B92" s="285">
        <f t="shared" si="76"/>
        <v>0</v>
      </c>
      <c r="C92" s="292">
        <v>1</v>
      </c>
      <c r="D92" s="289"/>
      <c r="E92" s="288">
        <f t="shared" si="75"/>
        <v>0</v>
      </c>
      <c r="F92" s="288">
        <f t="shared" si="62"/>
        <v>1.94</v>
      </c>
      <c r="G92" s="288">
        <f t="shared" si="63"/>
        <v>2.04</v>
      </c>
      <c r="H92" s="288">
        <v>0.05</v>
      </c>
      <c r="I92" s="288">
        <f t="shared" si="64"/>
        <v>0</v>
      </c>
      <c r="J92" s="289">
        <f t="shared" si="65"/>
        <v>0</v>
      </c>
      <c r="K92" s="311">
        <f t="shared" si="66"/>
        <v>0</v>
      </c>
      <c r="L92" s="288">
        <f t="shared" si="67"/>
        <v>0</v>
      </c>
      <c r="M92" s="289">
        <f t="shared" si="68"/>
        <v>0</v>
      </c>
      <c r="N92" s="288">
        <f t="shared" si="69"/>
        <v>0</v>
      </c>
      <c r="O92" s="288">
        <f t="shared" si="70"/>
        <v>0</v>
      </c>
      <c r="P92" s="288">
        <f t="shared" si="71"/>
        <v>0</v>
      </c>
      <c r="Q92" s="288">
        <f t="shared" si="72"/>
        <v>0</v>
      </c>
      <c r="R92" s="311">
        <f t="shared" si="73"/>
        <v>0</v>
      </c>
      <c r="S92" s="309"/>
      <c r="T92" s="291">
        <f>'ORÇAMENTO GERAL'!$J$68</f>
        <v>1198.6500000000001</v>
      </c>
      <c r="U92" s="291">
        <f>'ORÇAMENTO GERAL'!$J$69</f>
        <v>14.63</v>
      </c>
      <c r="V92" s="291">
        <f>'ORÇAMENTO GERAL'!$J$70</f>
        <v>8.07</v>
      </c>
      <c r="W92" s="291">
        <f>'ORÇAMENTO GERAL'!$J$71</f>
        <v>3.54</v>
      </c>
      <c r="X92" s="291">
        <f>'ORÇAMENTO GERAL'!$J$72</f>
        <v>7.02</v>
      </c>
      <c r="Y92" s="291">
        <f>'ORÇAMENTO GERAL'!$J$73</f>
        <v>48.92</v>
      </c>
      <c r="Z92" s="291">
        <f>'ORÇAMENTO GERAL'!$J$74</f>
        <v>169.7</v>
      </c>
      <c r="AA92" s="291">
        <f>'ORÇAMENTO GERAL'!$J$75</f>
        <v>22.65</v>
      </c>
      <c r="AB92" s="291">
        <f>'ORÇAMENTO GERAL'!$J$76</f>
        <v>44.97</v>
      </c>
      <c r="AC92" s="291">
        <f>'ORÇAMENTO GERAL'!$J$77</f>
        <v>243.69</v>
      </c>
      <c r="AD92" s="291">
        <f t="shared" si="74"/>
        <v>0</v>
      </c>
    </row>
    <row r="93" spans="1:30" s="280" customFormat="1" ht="45" hidden="1" customHeight="1" x14ac:dyDescent="0.4">
      <c r="A93" s="284">
        <v>16</v>
      </c>
      <c r="B93" s="285">
        <f t="shared" si="76"/>
        <v>0</v>
      </c>
      <c r="C93" s="292">
        <v>1</v>
      </c>
      <c r="D93" s="289"/>
      <c r="E93" s="288">
        <f t="shared" si="75"/>
        <v>0</v>
      </c>
      <c r="F93" s="288">
        <f t="shared" si="62"/>
        <v>1.94</v>
      </c>
      <c r="G93" s="288">
        <f t="shared" si="63"/>
        <v>2.04</v>
      </c>
      <c r="H93" s="288">
        <v>0.05</v>
      </c>
      <c r="I93" s="288">
        <f t="shared" si="64"/>
        <v>0</v>
      </c>
      <c r="J93" s="289">
        <f t="shared" si="65"/>
        <v>0</v>
      </c>
      <c r="K93" s="311">
        <f t="shared" si="66"/>
        <v>0</v>
      </c>
      <c r="L93" s="288">
        <f t="shared" si="67"/>
        <v>0</v>
      </c>
      <c r="M93" s="289">
        <f t="shared" si="68"/>
        <v>0</v>
      </c>
      <c r="N93" s="288">
        <f t="shared" si="69"/>
        <v>0</v>
      </c>
      <c r="O93" s="288">
        <f t="shared" si="70"/>
        <v>0</v>
      </c>
      <c r="P93" s="288">
        <f t="shared" si="71"/>
        <v>0</v>
      </c>
      <c r="Q93" s="288">
        <f t="shared" si="72"/>
        <v>0</v>
      </c>
      <c r="R93" s="311">
        <f t="shared" si="73"/>
        <v>0</v>
      </c>
      <c r="S93" s="309"/>
      <c r="T93" s="291">
        <f>'ORÇAMENTO GERAL'!$J$68</f>
        <v>1198.6500000000001</v>
      </c>
      <c r="U93" s="291">
        <f>'ORÇAMENTO GERAL'!$J$69</f>
        <v>14.63</v>
      </c>
      <c r="V93" s="291">
        <f>'ORÇAMENTO GERAL'!$J$70</f>
        <v>8.07</v>
      </c>
      <c r="W93" s="291">
        <f>'ORÇAMENTO GERAL'!$J$71</f>
        <v>3.54</v>
      </c>
      <c r="X93" s="291">
        <f>'ORÇAMENTO GERAL'!$J$72</f>
        <v>7.02</v>
      </c>
      <c r="Y93" s="291">
        <f>'ORÇAMENTO GERAL'!$J$73</f>
        <v>48.92</v>
      </c>
      <c r="Z93" s="291">
        <f>'ORÇAMENTO GERAL'!$J$74</f>
        <v>169.7</v>
      </c>
      <c r="AA93" s="291">
        <f>'ORÇAMENTO GERAL'!$J$75</f>
        <v>22.65</v>
      </c>
      <c r="AB93" s="291">
        <f>'ORÇAMENTO GERAL'!$J$76</f>
        <v>44.97</v>
      </c>
      <c r="AC93" s="291">
        <f>'ORÇAMENTO GERAL'!$J$77</f>
        <v>243.69</v>
      </c>
      <c r="AD93" s="291">
        <f t="shared" si="74"/>
        <v>0</v>
      </c>
    </row>
    <row r="94" spans="1:30" s="280" customFormat="1" ht="45" hidden="1" customHeight="1" x14ac:dyDescent="0.4">
      <c r="A94" s="284">
        <v>17</v>
      </c>
      <c r="B94" s="285">
        <f t="shared" si="76"/>
        <v>0</v>
      </c>
      <c r="C94" s="292">
        <v>1</v>
      </c>
      <c r="D94" s="289"/>
      <c r="E94" s="288">
        <f t="shared" si="75"/>
        <v>0</v>
      </c>
      <c r="F94" s="288">
        <f t="shared" si="62"/>
        <v>1.94</v>
      </c>
      <c r="G94" s="288">
        <f t="shared" si="63"/>
        <v>2.04</v>
      </c>
      <c r="H94" s="288">
        <v>0.05</v>
      </c>
      <c r="I94" s="288">
        <f t="shared" si="64"/>
        <v>0</v>
      </c>
      <c r="J94" s="289">
        <f t="shared" si="65"/>
        <v>0</v>
      </c>
      <c r="K94" s="311">
        <f t="shared" si="66"/>
        <v>0</v>
      </c>
      <c r="L94" s="288">
        <f t="shared" si="67"/>
        <v>0</v>
      </c>
      <c r="M94" s="289">
        <f t="shared" si="68"/>
        <v>0</v>
      </c>
      <c r="N94" s="288">
        <f t="shared" si="69"/>
        <v>0</v>
      </c>
      <c r="O94" s="288">
        <f t="shared" si="70"/>
        <v>0</v>
      </c>
      <c r="P94" s="288">
        <f t="shared" si="71"/>
        <v>0</v>
      </c>
      <c r="Q94" s="288">
        <f t="shared" si="72"/>
        <v>0</v>
      </c>
      <c r="R94" s="311">
        <f t="shared" si="73"/>
        <v>0</v>
      </c>
      <c r="S94" s="309"/>
      <c r="T94" s="291">
        <f>'ORÇAMENTO GERAL'!$J$68</f>
        <v>1198.6500000000001</v>
      </c>
      <c r="U94" s="291">
        <f>'ORÇAMENTO GERAL'!$J$69</f>
        <v>14.63</v>
      </c>
      <c r="V94" s="291">
        <f>'ORÇAMENTO GERAL'!$J$70</f>
        <v>8.07</v>
      </c>
      <c r="W94" s="291">
        <f>'ORÇAMENTO GERAL'!$J$71</f>
        <v>3.54</v>
      </c>
      <c r="X94" s="291">
        <f>'ORÇAMENTO GERAL'!$J$72</f>
        <v>7.02</v>
      </c>
      <c r="Y94" s="291">
        <f>'ORÇAMENTO GERAL'!$J$73</f>
        <v>48.92</v>
      </c>
      <c r="Z94" s="291">
        <f>'ORÇAMENTO GERAL'!$J$74</f>
        <v>169.7</v>
      </c>
      <c r="AA94" s="291">
        <f>'ORÇAMENTO GERAL'!$J$75</f>
        <v>22.65</v>
      </c>
      <c r="AB94" s="291">
        <f>'ORÇAMENTO GERAL'!$J$76</f>
        <v>44.97</v>
      </c>
      <c r="AC94" s="291">
        <f>'ORÇAMENTO GERAL'!$J$77</f>
        <v>243.69</v>
      </c>
      <c r="AD94" s="291">
        <f t="shared" si="74"/>
        <v>0</v>
      </c>
    </row>
    <row r="95" spans="1:30" s="280" customFormat="1" ht="45" hidden="1" customHeight="1" x14ac:dyDescent="0.4">
      <c r="A95" s="284">
        <v>18</v>
      </c>
      <c r="B95" s="285">
        <f t="shared" si="76"/>
        <v>0</v>
      </c>
      <c r="C95" s="292">
        <v>1</v>
      </c>
      <c r="D95" s="289"/>
      <c r="E95" s="288">
        <f t="shared" si="75"/>
        <v>0</v>
      </c>
      <c r="F95" s="288">
        <f t="shared" si="62"/>
        <v>1.94</v>
      </c>
      <c r="G95" s="288">
        <f t="shared" si="63"/>
        <v>2.04</v>
      </c>
      <c r="H95" s="288">
        <v>0.05</v>
      </c>
      <c r="I95" s="288">
        <f t="shared" si="64"/>
        <v>0</v>
      </c>
      <c r="J95" s="289">
        <f t="shared" si="65"/>
        <v>0</v>
      </c>
      <c r="K95" s="311">
        <f t="shared" si="66"/>
        <v>0</v>
      </c>
      <c r="L95" s="288">
        <f t="shared" si="67"/>
        <v>0</v>
      </c>
      <c r="M95" s="289">
        <f t="shared" si="68"/>
        <v>0</v>
      </c>
      <c r="N95" s="288">
        <f t="shared" si="69"/>
        <v>0</v>
      </c>
      <c r="O95" s="288">
        <f t="shared" si="70"/>
        <v>0</v>
      </c>
      <c r="P95" s="288">
        <f t="shared" si="71"/>
        <v>0</v>
      </c>
      <c r="Q95" s="288">
        <f t="shared" si="72"/>
        <v>0</v>
      </c>
      <c r="R95" s="311">
        <f t="shared" si="73"/>
        <v>0</v>
      </c>
      <c r="S95" s="309"/>
      <c r="T95" s="291">
        <f>'ORÇAMENTO GERAL'!$J$68</f>
        <v>1198.6500000000001</v>
      </c>
      <c r="U95" s="291">
        <f>'ORÇAMENTO GERAL'!$J$69</f>
        <v>14.63</v>
      </c>
      <c r="V95" s="291">
        <f>'ORÇAMENTO GERAL'!$J$70</f>
        <v>8.07</v>
      </c>
      <c r="W95" s="291">
        <f>'ORÇAMENTO GERAL'!$J$71</f>
        <v>3.54</v>
      </c>
      <c r="X95" s="291">
        <f>'ORÇAMENTO GERAL'!$J$72</f>
        <v>7.02</v>
      </c>
      <c r="Y95" s="291">
        <f>'ORÇAMENTO GERAL'!$J$73</f>
        <v>48.92</v>
      </c>
      <c r="Z95" s="291">
        <f>'ORÇAMENTO GERAL'!$J$74</f>
        <v>169.7</v>
      </c>
      <c r="AA95" s="291">
        <f>'ORÇAMENTO GERAL'!$J$75</f>
        <v>22.65</v>
      </c>
      <c r="AB95" s="291">
        <f>'ORÇAMENTO GERAL'!$J$76</f>
        <v>44.97</v>
      </c>
      <c r="AC95" s="291">
        <f>'ORÇAMENTO GERAL'!$J$77</f>
        <v>243.69</v>
      </c>
      <c r="AD95" s="291">
        <f t="shared" si="74"/>
        <v>0</v>
      </c>
    </row>
    <row r="96" spans="1:30" s="280" customFormat="1" ht="45" hidden="1" customHeight="1" x14ac:dyDescent="0.4">
      <c r="A96" s="284">
        <v>19</v>
      </c>
      <c r="B96" s="285">
        <f t="shared" si="76"/>
        <v>0</v>
      </c>
      <c r="C96" s="292">
        <v>1</v>
      </c>
      <c r="D96" s="289"/>
      <c r="E96" s="288">
        <f t="shared" si="75"/>
        <v>0</v>
      </c>
      <c r="F96" s="288">
        <f t="shared" si="62"/>
        <v>1.94</v>
      </c>
      <c r="G96" s="288">
        <f t="shared" si="63"/>
        <v>2.04</v>
      </c>
      <c r="H96" s="288">
        <v>0.05</v>
      </c>
      <c r="I96" s="288">
        <f t="shared" si="64"/>
        <v>0</v>
      </c>
      <c r="J96" s="289">
        <f t="shared" si="65"/>
        <v>0</v>
      </c>
      <c r="K96" s="311">
        <f t="shared" si="66"/>
        <v>0</v>
      </c>
      <c r="L96" s="288">
        <f t="shared" si="67"/>
        <v>0</v>
      </c>
      <c r="M96" s="289">
        <f t="shared" si="68"/>
        <v>0</v>
      </c>
      <c r="N96" s="288">
        <f t="shared" si="69"/>
        <v>0</v>
      </c>
      <c r="O96" s="288">
        <f t="shared" si="70"/>
        <v>0</v>
      </c>
      <c r="P96" s="288">
        <f t="shared" si="71"/>
        <v>0</v>
      </c>
      <c r="Q96" s="288">
        <f t="shared" si="72"/>
        <v>0</v>
      </c>
      <c r="R96" s="311">
        <f t="shared" si="73"/>
        <v>0</v>
      </c>
      <c r="S96" s="309"/>
      <c r="T96" s="291">
        <f>'ORÇAMENTO GERAL'!$J$68</f>
        <v>1198.6500000000001</v>
      </c>
      <c r="U96" s="291">
        <f>'ORÇAMENTO GERAL'!$J$69</f>
        <v>14.63</v>
      </c>
      <c r="V96" s="291">
        <f>'ORÇAMENTO GERAL'!$J$70</f>
        <v>8.07</v>
      </c>
      <c r="W96" s="291">
        <f>'ORÇAMENTO GERAL'!$J$71</f>
        <v>3.54</v>
      </c>
      <c r="X96" s="291">
        <f>'ORÇAMENTO GERAL'!$J$72</f>
        <v>7.02</v>
      </c>
      <c r="Y96" s="291">
        <f>'ORÇAMENTO GERAL'!$J$73</f>
        <v>48.92</v>
      </c>
      <c r="Z96" s="291">
        <f>'ORÇAMENTO GERAL'!$J$74</f>
        <v>169.7</v>
      </c>
      <c r="AA96" s="291">
        <f>'ORÇAMENTO GERAL'!$J$75</f>
        <v>22.65</v>
      </c>
      <c r="AB96" s="291">
        <f>'ORÇAMENTO GERAL'!$J$76</f>
        <v>44.97</v>
      </c>
      <c r="AC96" s="291">
        <f>'ORÇAMENTO GERAL'!$J$77</f>
        <v>243.69</v>
      </c>
      <c r="AD96" s="291">
        <f t="shared" si="74"/>
        <v>0</v>
      </c>
    </row>
    <row r="97" spans="1:30" s="280" customFormat="1" ht="45" hidden="1" customHeight="1" thickBot="1" x14ac:dyDescent="0.45">
      <c r="A97" s="284">
        <v>20</v>
      </c>
      <c r="B97" s="285">
        <f t="shared" si="76"/>
        <v>0</v>
      </c>
      <c r="C97" s="292">
        <v>1</v>
      </c>
      <c r="D97" s="289"/>
      <c r="E97" s="288">
        <f t="shared" si="75"/>
        <v>0</v>
      </c>
      <c r="F97" s="288">
        <f t="shared" si="62"/>
        <v>1.94</v>
      </c>
      <c r="G97" s="288">
        <f t="shared" si="63"/>
        <v>2.04</v>
      </c>
      <c r="H97" s="288">
        <v>0.05</v>
      </c>
      <c r="I97" s="288">
        <f t="shared" si="64"/>
        <v>0</v>
      </c>
      <c r="J97" s="289">
        <f t="shared" si="65"/>
        <v>0</v>
      </c>
      <c r="K97" s="311">
        <f t="shared" si="66"/>
        <v>0</v>
      </c>
      <c r="L97" s="288">
        <f t="shared" si="67"/>
        <v>0</v>
      </c>
      <c r="M97" s="289">
        <f t="shared" si="68"/>
        <v>0</v>
      </c>
      <c r="N97" s="288">
        <f t="shared" si="69"/>
        <v>0</v>
      </c>
      <c r="O97" s="288">
        <f t="shared" si="70"/>
        <v>0</v>
      </c>
      <c r="P97" s="288">
        <f t="shared" si="71"/>
        <v>0</v>
      </c>
      <c r="Q97" s="288">
        <f t="shared" si="72"/>
        <v>0</v>
      </c>
      <c r="R97" s="311">
        <f t="shared" si="73"/>
        <v>0</v>
      </c>
      <c r="S97" s="309"/>
      <c r="T97" s="291">
        <f>'ORÇAMENTO GERAL'!$J$68</f>
        <v>1198.6500000000001</v>
      </c>
      <c r="U97" s="291">
        <f>'ORÇAMENTO GERAL'!$J$69</f>
        <v>14.63</v>
      </c>
      <c r="V97" s="291">
        <f>'ORÇAMENTO GERAL'!$J$70</f>
        <v>8.07</v>
      </c>
      <c r="W97" s="291">
        <f>'ORÇAMENTO GERAL'!$J$71</f>
        <v>3.54</v>
      </c>
      <c r="X97" s="291">
        <f>'ORÇAMENTO GERAL'!$J$72</f>
        <v>7.02</v>
      </c>
      <c r="Y97" s="291">
        <f>'ORÇAMENTO GERAL'!$J$73</f>
        <v>48.92</v>
      </c>
      <c r="Z97" s="291">
        <f>'ORÇAMENTO GERAL'!$J$74</f>
        <v>169.7</v>
      </c>
      <c r="AA97" s="291">
        <f>'ORÇAMENTO GERAL'!$J$75</f>
        <v>22.65</v>
      </c>
      <c r="AB97" s="291">
        <f>'ORÇAMENTO GERAL'!$J$76</f>
        <v>44.97</v>
      </c>
      <c r="AC97" s="291">
        <f>'ORÇAMENTO GERAL'!$J$77</f>
        <v>243.69</v>
      </c>
      <c r="AD97" s="291">
        <f t="shared" si="74"/>
        <v>0</v>
      </c>
    </row>
    <row r="98" spans="1:30" s="280" customFormat="1" ht="45" hidden="1" customHeight="1" thickBot="1" x14ac:dyDescent="0.45">
      <c r="A98" s="723" t="s">
        <v>23</v>
      </c>
      <c r="B98" s="724"/>
      <c r="C98" s="293"/>
      <c r="D98" s="293"/>
      <c r="E98" s="293">
        <f>SUM(E78:E97)</f>
        <v>0</v>
      </c>
      <c r="F98" s="293"/>
      <c r="G98" s="293"/>
      <c r="H98" s="293"/>
      <c r="I98" s="293">
        <f>SUM(I78:I97)</f>
        <v>0</v>
      </c>
      <c r="J98" s="293">
        <f>SUM(J78:J97)</f>
        <v>0</v>
      </c>
      <c r="K98" s="293">
        <f>SUM(K78:K97)</f>
        <v>0</v>
      </c>
      <c r="L98" s="293">
        <f>SUM(L78:L97)</f>
        <v>0</v>
      </c>
      <c r="M98" s="293">
        <f>SUM(M78:M97)</f>
        <v>0</v>
      </c>
      <c r="N98" s="293"/>
      <c r="O98" s="293">
        <f>SUM(O78:O97)</f>
        <v>0</v>
      </c>
      <c r="P98" s="293">
        <f>SUM(P78:P97)</f>
        <v>0</v>
      </c>
      <c r="Q98" s="293">
        <f>SUM(Q78:Q97)</f>
        <v>0</v>
      </c>
      <c r="R98" s="293">
        <f>SUM(R78:R97)</f>
        <v>0</v>
      </c>
      <c r="S98" s="308"/>
    </row>
    <row r="99" spans="1:30" s="280" customFormat="1" ht="45" hidden="1" customHeight="1" thickBot="1" x14ac:dyDescent="0.45">
      <c r="C99" s="298"/>
      <c r="D99" s="298"/>
      <c r="E99" s="298"/>
      <c r="F99" s="298"/>
      <c r="G99" s="298"/>
      <c r="H99" s="298"/>
    </row>
    <row r="100" spans="1:30" s="280" customFormat="1" ht="45" hidden="1" customHeight="1" thickBot="1" x14ac:dyDescent="0.45">
      <c r="A100" s="716" t="s">
        <v>481</v>
      </c>
      <c r="B100" s="717"/>
      <c r="C100" s="717"/>
      <c r="D100" s="717"/>
      <c r="E100" s="717"/>
      <c r="F100" s="717"/>
      <c r="G100" s="717"/>
      <c r="H100" s="717"/>
      <c r="I100" s="717"/>
      <c r="J100" s="717"/>
      <c r="K100" s="717"/>
      <c r="L100" s="717"/>
      <c r="M100" s="717"/>
      <c r="N100" s="717"/>
      <c r="O100" s="717"/>
      <c r="P100" s="717"/>
      <c r="Q100" s="717"/>
      <c r="R100" s="718"/>
      <c r="S100" s="306"/>
    </row>
    <row r="101" spans="1:30" s="280" customFormat="1" ht="45" hidden="1" customHeight="1" x14ac:dyDescent="0.4">
      <c r="A101" s="706" t="s">
        <v>7</v>
      </c>
      <c r="B101" s="709" t="s">
        <v>389</v>
      </c>
      <c r="C101" s="721" t="s">
        <v>560</v>
      </c>
      <c r="D101" s="721"/>
      <c r="E101" s="721"/>
      <c r="F101" s="712" t="s">
        <v>517</v>
      </c>
      <c r="G101" s="712"/>
      <c r="H101" s="712"/>
      <c r="I101" s="712"/>
      <c r="J101" s="712" t="s">
        <v>518</v>
      </c>
      <c r="K101" s="719" t="s">
        <v>521</v>
      </c>
      <c r="L101" s="712" t="s">
        <v>380</v>
      </c>
      <c r="M101" s="712" t="s">
        <v>383</v>
      </c>
      <c r="N101" s="703" t="s">
        <v>381</v>
      </c>
      <c r="O101" s="703" t="s">
        <v>519</v>
      </c>
      <c r="P101" s="703" t="s">
        <v>615</v>
      </c>
      <c r="Q101" s="703" t="s">
        <v>520</v>
      </c>
      <c r="R101" s="721" t="s">
        <v>384</v>
      </c>
      <c r="S101" s="306"/>
    </row>
    <row r="102" spans="1:30" s="280" customFormat="1" ht="45" hidden="1" customHeight="1" x14ac:dyDescent="0.4">
      <c r="A102" s="707"/>
      <c r="B102" s="710"/>
      <c r="C102" s="722"/>
      <c r="D102" s="722"/>
      <c r="E102" s="722"/>
      <c r="F102" s="713"/>
      <c r="G102" s="713"/>
      <c r="H102" s="713"/>
      <c r="I102" s="713"/>
      <c r="J102" s="713"/>
      <c r="K102" s="720"/>
      <c r="L102" s="713"/>
      <c r="M102" s="713"/>
      <c r="N102" s="704"/>
      <c r="O102" s="705"/>
      <c r="P102" s="705"/>
      <c r="Q102" s="704"/>
      <c r="R102" s="722"/>
      <c r="S102" s="306"/>
    </row>
    <row r="103" spans="1:30" s="280" customFormat="1" ht="45" hidden="1" customHeight="1" x14ac:dyDescent="0.4">
      <c r="A103" s="707"/>
      <c r="B103" s="710"/>
      <c r="C103" s="281" t="s">
        <v>155</v>
      </c>
      <c r="D103" s="410" t="s">
        <v>396</v>
      </c>
      <c r="E103" s="281" t="s">
        <v>378</v>
      </c>
      <c r="F103" s="281" t="s">
        <v>372</v>
      </c>
      <c r="G103" s="281" t="s">
        <v>377</v>
      </c>
      <c r="H103" s="281" t="s">
        <v>379</v>
      </c>
      <c r="I103" s="281" t="s">
        <v>23</v>
      </c>
      <c r="J103" s="713"/>
      <c r="K103" s="720"/>
      <c r="L103" s="713"/>
      <c r="M103" s="713"/>
      <c r="N103" s="705"/>
      <c r="O103" s="281" t="s">
        <v>23</v>
      </c>
      <c r="P103" s="281" t="s">
        <v>23</v>
      </c>
      <c r="Q103" s="705"/>
      <c r="R103" s="722"/>
      <c r="S103" s="306"/>
    </row>
    <row r="104" spans="1:30" s="280" customFormat="1" ht="45" hidden="1" customHeight="1" x14ac:dyDescent="0.4">
      <c r="A104" s="707"/>
      <c r="B104" s="710"/>
      <c r="C104" s="456"/>
      <c r="D104" s="456"/>
      <c r="E104" s="456" t="s">
        <v>52</v>
      </c>
      <c r="F104" s="456" t="s">
        <v>55</v>
      </c>
      <c r="G104" s="456" t="s">
        <v>15</v>
      </c>
      <c r="H104" s="456" t="s">
        <v>9</v>
      </c>
      <c r="I104" s="456" t="s">
        <v>382</v>
      </c>
      <c r="J104" s="462" t="s">
        <v>586</v>
      </c>
      <c r="K104" s="463" t="s">
        <v>522</v>
      </c>
      <c r="L104" s="462" t="s">
        <v>523</v>
      </c>
      <c r="M104" s="462" t="s">
        <v>524</v>
      </c>
      <c r="N104" s="462" t="s">
        <v>525</v>
      </c>
      <c r="O104" s="462" t="s">
        <v>618</v>
      </c>
      <c r="P104" s="462" t="s">
        <v>619</v>
      </c>
      <c r="Q104" s="462" t="s">
        <v>616</v>
      </c>
      <c r="R104" s="462" t="s">
        <v>617</v>
      </c>
      <c r="S104" s="306"/>
      <c r="T104" s="728" t="s">
        <v>540</v>
      </c>
      <c r="U104" s="729"/>
      <c r="V104" s="729"/>
      <c r="W104" s="729"/>
      <c r="X104" s="729"/>
      <c r="Y104" s="729"/>
      <c r="Z104" s="729"/>
      <c r="AA104" s="729"/>
      <c r="AB104" s="729"/>
      <c r="AC104" s="729"/>
      <c r="AD104" s="730"/>
    </row>
    <row r="105" spans="1:30" s="280" customFormat="1" ht="45" hidden="1" customHeight="1" thickBot="1" x14ac:dyDescent="0.45">
      <c r="A105" s="708"/>
      <c r="B105" s="711"/>
      <c r="C105" s="283" t="s">
        <v>376</v>
      </c>
      <c r="D105" s="283" t="s">
        <v>373</v>
      </c>
      <c r="E105" s="283" t="s">
        <v>373</v>
      </c>
      <c r="F105" s="283" t="s">
        <v>587</v>
      </c>
      <c r="G105" s="283" t="s">
        <v>588</v>
      </c>
      <c r="H105" s="283"/>
      <c r="I105" s="283"/>
      <c r="J105" s="283"/>
      <c r="K105" s="310">
        <v>10</v>
      </c>
      <c r="L105" s="283"/>
      <c r="M105" s="283"/>
      <c r="N105" s="283"/>
      <c r="O105" s="283"/>
      <c r="P105" s="460"/>
      <c r="Q105" s="460" t="s">
        <v>612</v>
      </c>
      <c r="R105" s="283"/>
      <c r="S105" s="307"/>
      <c r="T105" s="410" t="s">
        <v>531</v>
      </c>
      <c r="U105" s="410" t="s">
        <v>532</v>
      </c>
      <c r="V105" s="410" t="s">
        <v>533</v>
      </c>
      <c r="W105" s="410" t="s">
        <v>534</v>
      </c>
      <c r="X105" s="410" t="s">
        <v>535</v>
      </c>
      <c r="Y105" s="410" t="s">
        <v>390</v>
      </c>
      <c r="Z105" s="281" t="s">
        <v>519</v>
      </c>
      <c r="AA105" s="281" t="s">
        <v>615</v>
      </c>
      <c r="AB105" s="281" t="s">
        <v>520</v>
      </c>
      <c r="AC105" s="281" t="s">
        <v>384</v>
      </c>
      <c r="AD105" s="407" t="s">
        <v>23</v>
      </c>
    </row>
    <row r="106" spans="1:30" s="280" customFormat="1" ht="45" hidden="1" customHeight="1" thickBot="1" x14ac:dyDescent="0.45">
      <c r="A106" s="284">
        <v>1</v>
      </c>
      <c r="B106" s="285" t="str">
        <f>DADOS!B9</f>
        <v>TV. BEIRA RIO</v>
      </c>
      <c r="C106" s="288">
        <v>1</v>
      </c>
      <c r="D106" s="286"/>
      <c r="E106" s="288">
        <f>C106*D106</f>
        <v>0</v>
      </c>
      <c r="F106" s="288">
        <f>1.8+0.5</f>
        <v>2.2999999999999998</v>
      </c>
      <c r="G106" s="288">
        <f>1.8+0.6</f>
        <v>2.4</v>
      </c>
      <c r="H106" s="288">
        <v>0.05</v>
      </c>
      <c r="I106" s="288">
        <f>(E106*F106*G106)+(E106*G106*H106)</f>
        <v>0</v>
      </c>
      <c r="J106" s="289">
        <f>N106</f>
        <v>0</v>
      </c>
      <c r="K106" s="311">
        <f>J106*1.25*$K$13</f>
        <v>0</v>
      </c>
      <c r="L106" s="288">
        <f>E106*F106</f>
        <v>0</v>
      </c>
      <c r="M106" s="289">
        <f>L106</f>
        <v>0</v>
      </c>
      <c r="N106" s="288">
        <f>(3.14*0.75^2)*E106</f>
        <v>0</v>
      </c>
      <c r="O106" s="288">
        <f>(I106-N106)*70%</f>
        <v>0</v>
      </c>
      <c r="P106" s="288">
        <f>(I106-N106)*30%</f>
        <v>0</v>
      </c>
      <c r="Q106" s="288">
        <f>E106*G106*2</f>
        <v>0</v>
      </c>
      <c r="R106" s="311">
        <f>E106</f>
        <v>0</v>
      </c>
      <c r="S106" s="309"/>
      <c r="T106" s="291">
        <f>'ORÇAMENTO GERAL'!$J$78</f>
        <v>1820.35</v>
      </c>
      <c r="U106" s="291">
        <f>'ORÇAMENTO GERAL'!$J$79</f>
        <v>14.63</v>
      </c>
      <c r="V106" s="291">
        <f>'ORÇAMENTO GERAL'!$J$80</f>
        <v>8.07</v>
      </c>
      <c r="W106" s="291">
        <f>'ORÇAMENTO GERAL'!$J$81</f>
        <v>3.54</v>
      </c>
      <c r="X106" s="291">
        <f>'ORÇAMENTO GERAL'!$J$82</f>
        <v>7.02</v>
      </c>
      <c r="Y106" s="291">
        <f>'ORÇAMENTO GERAL'!$J$83</f>
        <v>48.92</v>
      </c>
      <c r="Z106" s="291">
        <f>'ORÇAMENTO GERAL'!$J$84</f>
        <v>169.7</v>
      </c>
      <c r="AA106" s="291">
        <f>'ORÇAMENTO GERAL'!$J$85</f>
        <v>22.65</v>
      </c>
      <c r="AB106" s="291">
        <f>'ORÇAMENTO GERAL'!$J$86</f>
        <v>44.97</v>
      </c>
      <c r="AC106" s="291">
        <f>'ORÇAMENTO GERAL'!$J$87</f>
        <v>323.98</v>
      </c>
      <c r="AD106" s="291">
        <f>(E106*T106)+(I106*U106)+(J106*V106)+(K106*W106)+(L106*X106)+(M106*Y106)+(O106*Z106)+(P106*AA106)+(Q106*AB106)+(R106*AC106)</f>
        <v>0</v>
      </c>
    </row>
    <row r="107" spans="1:30" s="280" customFormat="1" ht="45" hidden="1" customHeight="1" x14ac:dyDescent="0.4">
      <c r="A107" s="284">
        <v>2</v>
      </c>
      <c r="B107" s="285" t="str">
        <f>DADOS!B10</f>
        <v>RUA MOCAJATUBA</v>
      </c>
      <c r="C107" s="292">
        <v>1</v>
      </c>
      <c r="D107" s="289"/>
      <c r="E107" s="288">
        <f>C107*D107</f>
        <v>0</v>
      </c>
      <c r="F107" s="288">
        <f t="shared" ref="F107:F125" si="77">1.8+0.5</f>
        <v>2.2999999999999998</v>
      </c>
      <c r="G107" s="288">
        <f t="shared" ref="G107:G125" si="78">1.8+0.6</f>
        <v>2.4</v>
      </c>
      <c r="H107" s="288">
        <v>0.05</v>
      </c>
      <c r="I107" s="288">
        <f t="shared" ref="I107:I125" si="79">(E107*F107*G107)+(E107*G107*H107)</f>
        <v>0</v>
      </c>
      <c r="J107" s="289">
        <f t="shared" ref="J107:J125" si="80">N107</f>
        <v>0</v>
      </c>
      <c r="K107" s="311">
        <f t="shared" ref="K107:K125" si="81">J107*1.25*$K$13</f>
        <v>0</v>
      </c>
      <c r="L107" s="288">
        <f t="shared" ref="L107:L125" si="82">E107*F107</f>
        <v>0</v>
      </c>
      <c r="M107" s="289">
        <f t="shared" ref="M107:M125" si="83">L107</f>
        <v>0</v>
      </c>
      <c r="N107" s="288">
        <f t="shared" ref="N107:N125" si="84">(3.14*0.75^2)*E107</f>
        <v>0</v>
      </c>
      <c r="O107" s="288">
        <f t="shared" ref="O107:O125" si="85">(I107-N107)*70%</f>
        <v>0</v>
      </c>
      <c r="P107" s="288">
        <f t="shared" ref="P107:P125" si="86">(I107-N107)*30%</f>
        <v>0</v>
      </c>
      <c r="Q107" s="288">
        <f t="shared" ref="Q107:Q125" si="87">E107*G107*2</f>
        <v>0</v>
      </c>
      <c r="R107" s="311">
        <f t="shared" ref="R107:R125" si="88">E107</f>
        <v>0</v>
      </c>
      <c r="S107" s="309"/>
      <c r="T107" s="291">
        <f>'ORÇAMENTO GERAL'!$J$78</f>
        <v>1820.35</v>
      </c>
      <c r="U107" s="291">
        <f>'ORÇAMENTO GERAL'!$J$79</f>
        <v>14.63</v>
      </c>
      <c r="V107" s="291">
        <f>'ORÇAMENTO GERAL'!$J$80</f>
        <v>8.07</v>
      </c>
      <c r="W107" s="291">
        <f>'ORÇAMENTO GERAL'!$J$81</f>
        <v>3.54</v>
      </c>
      <c r="X107" s="291">
        <f>'ORÇAMENTO GERAL'!$J$82</f>
        <v>7.02</v>
      </c>
      <c r="Y107" s="291">
        <f>'ORÇAMENTO GERAL'!$J$83</f>
        <v>48.92</v>
      </c>
      <c r="Z107" s="291">
        <f>'ORÇAMENTO GERAL'!$J$84</f>
        <v>169.7</v>
      </c>
      <c r="AA107" s="291">
        <f>'ORÇAMENTO GERAL'!$J$85</f>
        <v>22.65</v>
      </c>
      <c r="AB107" s="291">
        <f>'ORÇAMENTO GERAL'!$J$86</f>
        <v>44.97</v>
      </c>
      <c r="AC107" s="291">
        <f>'ORÇAMENTO GERAL'!$J$87</f>
        <v>323.98</v>
      </c>
      <c r="AD107" s="291">
        <f t="shared" ref="AD107:AD125" si="89">(E107*T107)+(I107*U107)+(J107*V107)+(K107*W107)+(L107*X107)+(M107*Y107)+(O107*Z107)+(P107*AA107)+(Q107*AB107)+(R107*AC107)</f>
        <v>0</v>
      </c>
    </row>
    <row r="108" spans="1:30" s="280" customFormat="1" ht="45" hidden="1" customHeight="1" x14ac:dyDescent="0.4">
      <c r="A108" s="284">
        <v>3</v>
      </c>
      <c r="B108" s="285">
        <f>DADOS!B11</f>
        <v>0</v>
      </c>
      <c r="C108" s="292">
        <v>1</v>
      </c>
      <c r="D108" s="289"/>
      <c r="E108" s="288">
        <f t="shared" ref="E108:E125" si="90">C108*D108</f>
        <v>0</v>
      </c>
      <c r="F108" s="288">
        <f t="shared" si="77"/>
        <v>2.2999999999999998</v>
      </c>
      <c r="G108" s="288">
        <f t="shared" si="78"/>
        <v>2.4</v>
      </c>
      <c r="H108" s="288">
        <v>0.05</v>
      </c>
      <c r="I108" s="288">
        <f t="shared" si="79"/>
        <v>0</v>
      </c>
      <c r="J108" s="289">
        <f t="shared" si="80"/>
        <v>0</v>
      </c>
      <c r="K108" s="311">
        <f t="shared" si="81"/>
        <v>0</v>
      </c>
      <c r="L108" s="288">
        <f t="shared" si="82"/>
        <v>0</v>
      </c>
      <c r="M108" s="289">
        <f t="shared" si="83"/>
        <v>0</v>
      </c>
      <c r="N108" s="288">
        <f t="shared" si="84"/>
        <v>0</v>
      </c>
      <c r="O108" s="288">
        <f t="shared" si="85"/>
        <v>0</v>
      </c>
      <c r="P108" s="288">
        <f t="shared" si="86"/>
        <v>0</v>
      </c>
      <c r="Q108" s="288">
        <f t="shared" si="87"/>
        <v>0</v>
      </c>
      <c r="R108" s="311">
        <f t="shared" si="88"/>
        <v>0</v>
      </c>
      <c r="S108" s="309"/>
      <c r="T108" s="291">
        <f>'ORÇAMENTO GERAL'!$J$78</f>
        <v>1820.35</v>
      </c>
      <c r="U108" s="291">
        <f>'ORÇAMENTO GERAL'!$J$79</f>
        <v>14.63</v>
      </c>
      <c r="V108" s="291">
        <f>'ORÇAMENTO GERAL'!$J$80</f>
        <v>8.07</v>
      </c>
      <c r="W108" s="291">
        <f>'ORÇAMENTO GERAL'!$J$81</f>
        <v>3.54</v>
      </c>
      <c r="X108" s="291">
        <f>'ORÇAMENTO GERAL'!$J$82</f>
        <v>7.02</v>
      </c>
      <c r="Y108" s="291">
        <f>'ORÇAMENTO GERAL'!$J$83</f>
        <v>48.92</v>
      </c>
      <c r="Z108" s="291">
        <f>'ORÇAMENTO GERAL'!$J$84</f>
        <v>169.7</v>
      </c>
      <c r="AA108" s="291">
        <f>'ORÇAMENTO GERAL'!$J$85</f>
        <v>22.65</v>
      </c>
      <c r="AB108" s="291">
        <f>'ORÇAMENTO GERAL'!$J$86</f>
        <v>44.97</v>
      </c>
      <c r="AC108" s="291">
        <f>'ORÇAMENTO GERAL'!$J$87</f>
        <v>323.98</v>
      </c>
      <c r="AD108" s="291">
        <f t="shared" si="89"/>
        <v>0</v>
      </c>
    </row>
    <row r="109" spans="1:30" s="280" customFormat="1" ht="45" hidden="1" customHeight="1" x14ac:dyDescent="0.4">
      <c r="A109" s="284">
        <v>4</v>
      </c>
      <c r="B109" s="285">
        <f>DADOS!B12</f>
        <v>0</v>
      </c>
      <c r="C109" s="292">
        <v>1</v>
      </c>
      <c r="D109" s="289"/>
      <c r="E109" s="288">
        <f t="shared" si="90"/>
        <v>0</v>
      </c>
      <c r="F109" s="288">
        <f t="shared" si="77"/>
        <v>2.2999999999999998</v>
      </c>
      <c r="G109" s="288">
        <f t="shared" si="78"/>
        <v>2.4</v>
      </c>
      <c r="H109" s="288">
        <v>0.05</v>
      </c>
      <c r="I109" s="288">
        <f t="shared" si="79"/>
        <v>0</v>
      </c>
      <c r="J109" s="289">
        <f t="shared" si="80"/>
        <v>0</v>
      </c>
      <c r="K109" s="311">
        <f t="shared" si="81"/>
        <v>0</v>
      </c>
      <c r="L109" s="288">
        <f t="shared" si="82"/>
        <v>0</v>
      </c>
      <c r="M109" s="289">
        <f t="shared" si="83"/>
        <v>0</v>
      </c>
      <c r="N109" s="288">
        <f t="shared" si="84"/>
        <v>0</v>
      </c>
      <c r="O109" s="288">
        <f t="shared" si="85"/>
        <v>0</v>
      </c>
      <c r="P109" s="288">
        <f t="shared" si="86"/>
        <v>0</v>
      </c>
      <c r="Q109" s="288">
        <f t="shared" si="87"/>
        <v>0</v>
      </c>
      <c r="R109" s="311">
        <f t="shared" si="88"/>
        <v>0</v>
      </c>
      <c r="S109" s="309"/>
      <c r="T109" s="291">
        <f>'ORÇAMENTO GERAL'!$J$78</f>
        <v>1820.35</v>
      </c>
      <c r="U109" s="291">
        <f>'ORÇAMENTO GERAL'!$J$79</f>
        <v>14.63</v>
      </c>
      <c r="V109" s="291">
        <f>'ORÇAMENTO GERAL'!$J$80</f>
        <v>8.07</v>
      </c>
      <c r="W109" s="291">
        <f>'ORÇAMENTO GERAL'!$J$81</f>
        <v>3.54</v>
      </c>
      <c r="X109" s="291">
        <f>'ORÇAMENTO GERAL'!$J$82</f>
        <v>7.02</v>
      </c>
      <c r="Y109" s="291">
        <f>'ORÇAMENTO GERAL'!$J$83</f>
        <v>48.92</v>
      </c>
      <c r="Z109" s="291">
        <f>'ORÇAMENTO GERAL'!$J$84</f>
        <v>169.7</v>
      </c>
      <c r="AA109" s="291">
        <f>'ORÇAMENTO GERAL'!$J$85</f>
        <v>22.65</v>
      </c>
      <c r="AB109" s="291">
        <f>'ORÇAMENTO GERAL'!$J$86</f>
        <v>44.97</v>
      </c>
      <c r="AC109" s="291">
        <f>'ORÇAMENTO GERAL'!$J$87</f>
        <v>323.98</v>
      </c>
      <c r="AD109" s="291">
        <f t="shared" si="89"/>
        <v>0</v>
      </c>
    </row>
    <row r="110" spans="1:30" s="280" customFormat="1" ht="45" hidden="1" customHeight="1" x14ac:dyDescent="0.4">
      <c r="A110" s="284">
        <v>5</v>
      </c>
      <c r="B110" s="285">
        <f>DADOS!B13</f>
        <v>0</v>
      </c>
      <c r="C110" s="292">
        <v>1</v>
      </c>
      <c r="D110" s="289"/>
      <c r="E110" s="288">
        <f t="shared" si="90"/>
        <v>0</v>
      </c>
      <c r="F110" s="288">
        <f t="shared" si="77"/>
        <v>2.2999999999999998</v>
      </c>
      <c r="G110" s="288">
        <f t="shared" si="78"/>
        <v>2.4</v>
      </c>
      <c r="H110" s="288">
        <v>0.05</v>
      </c>
      <c r="I110" s="288">
        <f t="shared" si="79"/>
        <v>0</v>
      </c>
      <c r="J110" s="289">
        <f t="shared" si="80"/>
        <v>0</v>
      </c>
      <c r="K110" s="311">
        <f t="shared" si="81"/>
        <v>0</v>
      </c>
      <c r="L110" s="288">
        <f t="shared" si="82"/>
        <v>0</v>
      </c>
      <c r="M110" s="289">
        <f t="shared" si="83"/>
        <v>0</v>
      </c>
      <c r="N110" s="288">
        <f t="shared" si="84"/>
        <v>0</v>
      </c>
      <c r="O110" s="288">
        <f t="shared" si="85"/>
        <v>0</v>
      </c>
      <c r="P110" s="288">
        <f t="shared" si="86"/>
        <v>0</v>
      </c>
      <c r="Q110" s="288">
        <f t="shared" si="87"/>
        <v>0</v>
      </c>
      <c r="R110" s="311">
        <f t="shared" si="88"/>
        <v>0</v>
      </c>
      <c r="S110" s="309"/>
      <c r="T110" s="291">
        <f>'ORÇAMENTO GERAL'!$J$78</f>
        <v>1820.35</v>
      </c>
      <c r="U110" s="291">
        <f>'ORÇAMENTO GERAL'!$J$79</f>
        <v>14.63</v>
      </c>
      <c r="V110" s="291">
        <f>'ORÇAMENTO GERAL'!$J$80</f>
        <v>8.07</v>
      </c>
      <c r="W110" s="291">
        <f>'ORÇAMENTO GERAL'!$J$81</f>
        <v>3.54</v>
      </c>
      <c r="X110" s="291">
        <f>'ORÇAMENTO GERAL'!$J$82</f>
        <v>7.02</v>
      </c>
      <c r="Y110" s="291">
        <f>'ORÇAMENTO GERAL'!$J$83</f>
        <v>48.92</v>
      </c>
      <c r="Z110" s="291">
        <f>'ORÇAMENTO GERAL'!$J$84</f>
        <v>169.7</v>
      </c>
      <c r="AA110" s="291">
        <f>'ORÇAMENTO GERAL'!$J$85</f>
        <v>22.65</v>
      </c>
      <c r="AB110" s="291">
        <f>'ORÇAMENTO GERAL'!$J$86</f>
        <v>44.97</v>
      </c>
      <c r="AC110" s="291">
        <f>'ORÇAMENTO GERAL'!$J$87</f>
        <v>323.98</v>
      </c>
      <c r="AD110" s="291">
        <f t="shared" si="89"/>
        <v>0</v>
      </c>
    </row>
    <row r="111" spans="1:30" s="280" customFormat="1" ht="45" hidden="1" customHeight="1" x14ac:dyDescent="0.4">
      <c r="A111" s="284">
        <v>6</v>
      </c>
      <c r="B111" s="285">
        <f>DADOS!B14</f>
        <v>0</v>
      </c>
      <c r="C111" s="292">
        <v>1</v>
      </c>
      <c r="D111" s="289"/>
      <c r="E111" s="288">
        <f t="shared" si="90"/>
        <v>0</v>
      </c>
      <c r="F111" s="288">
        <f t="shared" si="77"/>
        <v>2.2999999999999998</v>
      </c>
      <c r="G111" s="288">
        <f t="shared" si="78"/>
        <v>2.4</v>
      </c>
      <c r="H111" s="288">
        <v>0.05</v>
      </c>
      <c r="I111" s="288">
        <f t="shared" si="79"/>
        <v>0</v>
      </c>
      <c r="J111" s="289">
        <f t="shared" si="80"/>
        <v>0</v>
      </c>
      <c r="K111" s="311">
        <f t="shared" si="81"/>
        <v>0</v>
      </c>
      <c r="L111" s="288">
        <f t="shared" si="82"/>
        <v>0</v>
      </c>
      <c r="M111" s="289">
        <f t="shared" si="83"/>
        <v>0</v>
      </c>
      <c r="N111" s="288">
        <f t="shared" si="84"/>
        <v>0</v>
      </c>
      <c r="O111" s="288">
        <f t="shared" si="85"/>
        <v>0</v>
      </c>
      <c r="P111" s="288">
        <f t="shared" si="86"/>
        <v>0</v>
      </c>
      <c r="Q111" s="288">
        <f t="shared" si="87"/>
        <v>0</v>
      </c>
      <c r="R111" s="311">
        <f t="shared" si="88"/>
        <v>0</v>
      </c>
      <c r="S111" s="309"/>
      <c r="T111" s="291">
        <f>'ORÇAMENTO GERAL'!$J$78</f>
        <v>1820.35</v>
      </c>
      <c r="U111" s="291">
        <f>'ORÇAMENTO GERAL'!$J$79</f>
        <v>14.63</v>
      </c>
      <c r="V111" s="291">
        <f>'ORÇAMENTO GERAL'!$J$80</f>
        <v>8.07</v>
      </c>
      <c r="W111" s="291">
        <f>'ORÇAMENTO GERAL'!$J$81</f>
        <v>3.54</v>
      </c>
      <c r="X111" s="291">
        <f>'ORÇAMENTO GERAL'!$J$82</f>
        <v>7.02</v>
      </c>
      <c r="Y111" s="291">
        <f>'ORÇAMENTO GERAL'!$J$83</f>
        <v>48.92</v>
      </c>
      <c r="Z111" s="291">
        <f>'ORÇAMENTO GERAL'!$J$84</f>
        <v>169.7</v>
      </c>
      <c r="AA111" s="291">
        <f>'ORÇAMENTO GERAL'!$J$85</f>
        <v>22.65</v>
      </c>
      <c r="AB111" s="291">
        <f>'ORÇAMENTO GERAL'!$J$86</f>
        <v>44.97</v>
      </c>
      <c r="AC111" s="291">
        <f>'ORÇAMENTO GERAL'!$J$87</f>
        <v>323.98</v>
      </c>
      <c r="AD111" s="291">
        <f t="shared" si="89"/>
        <v>0</v>
      </c>
    </row>
    <row r="112" spans="1:30" s="280" customFormat="1" ht="45" hidden="1" customHeight="1" x14ac:dyDescent="0.4">
      <c r="A112" s="284">
        <v>7</v>
      </c>
      <c r="B112" s="285">
        <f>DADOS!B15</f>
        <v>0</v>
      </c>
      <c r="C112" s="292">
        <v>1</v>
      </c>
      <c r="D112" s="289"/>
      <c r="E112" s="288">
        <f t="shared" si="90"/>
        <v>0</v>
      </c>
      <c r="F112" s="288">
        <f t="shared" si="77"/>
        <v>2.2999999999999998</v>
      </c>
      <c r="G112" s="288">
        <f t="shared" si="78"/>
        <v>2.4</v>
      </c>
      <c r="H112" s="288">
        <v>0.05</v>
      </c>
      <c r="I112" s="288">
        <f t="shared" si="79"/>
        <v>0</v>
      </c>
      <c r="J112" s="289">
        <f t="shared" si="80"/>
        <v>0</v>
      </c>
      <c r="K112" s="311">
        <f t="shared" si="81"/>
        <v>0</v>
      </c>
      <c r="L112" s="288">
        <f t="shared" si="82"/>
        <v>0</v>
      </c>
      <c r="M112" s="289">
        <f t="shared" si="83"/>
        <v>0</v>
      </c>
      <c r="N112" s="288">
        <f t="shared" si="84"/>
        <v>0</v>
      </c>
      <c r="O112" s="288">
        <f t="shared" si="85"/>
        <v>0</v>
      </c>
      <c r="P112" s="288">
        <f t="shared" si="86"/>
        <v>0</v>
      </c>
      <c r="Q112" s="288">
        <f t="shared" si="87"/>
        <v>0</v>
      </c>
      <c r="R112" s="311">
        <f t="shared" si="88"/>
        <v>0</v>
      </c>
      <c r="S112" s="309"/>
      <c r="T112" s="291">
        <f>'ORÇAMENTO GERAL'!$J$78</f>
        <v>1820.35</v>
      </c>
      <c r="U112" s="291">
        <f>'ORÇAMENTO GERAL'!$J$79</f>
        <v>14.63</v>
      </c>
      <c r="V112" s="291">
        <f>'ORÇAMENTO GERAL'!$J$80</f>
        <v>8.07</v>
      </c>
      <c r="W112" s="291">
        <f>'ORÇAMENTO GERAL'!$J$81</f>
        <v>3.54</v>
      </c>
      <c r="X112" s="291">
        <f>'ORÇAMENTO GERAL'!$J$82</f>
        <v>7.02</v>
      </c>
      <c r="Y112" s="291">
        <f>'ORÇAMENTO GERAL'!$J$83</f>
        <v>48.92</v>
      </c>
      <c r="Z112" s="291">
        <f>'ORÇAMENTO GERAL'!$J$84</f>
        <v>169.7</v>
      </c>
      <c r="AA112" s="291">
        <f>'ORÇAMENTO GERAL'!$J$85</f>
        <v>22.65</v>
      </c>
      <c r="AB112" s="291">
        <f>'ORÇAMENTO GERAL'!$J$86</f>
        <v>44.97</v>
      </c>
      <c r="AC112" s="291">
        <f>'ORÇAMENTO GERAL'!$J$87</f>
        <v>323.98</v>
      </c>
      <c r="AD112" s="291">
        <f t="shared" si="89"/>
        <v>0</v>
      </c>
    </row>
    <row r="113" spans="1:30" s="280" customFormat="1" ht="45" hidden="1" customHeight="1" x14ac:dyDescent="0.4">
      <c r="A113" s="284">
        <v>8</v>
      </c>
      <c r="B113" s="285">
        <f>DADOS!B16</f>
        <v>0</v>
      </c>
      <c r="C113" s="292">
        <v>1</v>
      </c>
      <c r="D113" s="289"/>
      <c r="E113" s="288">
        <f t="shared" si="90"/>
        <v>0</v>
      </c>
      <c r="F113" s="288">
        <f t="shared" si="77"/>
        <v>2.2999999999999998</v>
      </c>
      <c r="G113" s="288">
        <f t="shared" si="78"/>
        <v>2.4</v>
      </c>
      <c r="H113" s="288">
        <v>0.05</v>
      </c>
      <c r="I113" s="288">
        <f t="shared" si="79"/>
        <v>0</v>
      </c>
      <c r="J113" s="289">
        <f t="shared" si="80"/>
        <v>0</v>
      </c>
      <c r="K113" s="311">
        <f t="shared" si="81"/>
        <v>0</v>
      </c>
      <c r="L113" s="288">
        <f t="shared" si="82"/>
        <v>0</v>
      </c>
      <c r="M113" s="289">
        <f t="shared" si="83"/>
        <v>0</v>
      </c>
      <c r="N113" s="288">
        <f t="shared" si="84"/>
        <v>0</v>
      </c>
      <c r="O113" s="288">
        <f t="shared" si="85"/>
        <v>0</v>
      </c>
      <c r="P113" s="288">
        <f t="shared" si="86"/>
        <v>0</v>
      </c>
      <c r="Q113" s="288">
        <f t="shared" si="87"/>
        <v>0</v>
      </c>
      <c r="R113" s="311">
        <f t="shared" si="88"/>
        <v>0</v>
      </c>
      <c r="S113" s="309"/>
      <c r="T113" s="291">
        <f>'ORÇAMENTO GERAL'!$J$78</f>
        <v>1820.35</v>
      </c>
      <c r="U113" s="291">
        <f>'ORÇAMENTO GERAL'!$J$79</f>
        <v>14.63</v>
      </c>
      <c r="V113" s="291">
        <f>'ORÇAMENTO GERAL'!$J$80</f>
        <v>8.07</v>
      </c>
      <c r="W113" s="291">
        <f>'ORÇAMENTO GERAL'!$J$81</f>
        <v>3.54</v>
      </c>
      <c r="X113" s="291">
        <f>'ORÇAMENTO GERAL'!$J$82</f>
        <v>7.02</v>
      </c>
      <c r="Y113" s="291">
        <f>'ORÇAMENTO GERAL'!$J$83</f>
        <v>48.92</v>
      </c>
      <c r="Z113" s="291">
        <f>'ORÇAMENTO GERAL'!$J$84</f>
        <v>169.7</v>
      </c>
      <c r="AA113" s="291">
        <f>'ORÇAMENTO GERAL'!$J$85</f>
        <v>22.65</v>
      </c>
      <c r="AB113" s="291">
        <f>'ORÇAMENTO GERAL'!$J$86</f>
        <v>44.97</v>
      </c>
      <c r="AC113" s="291">
        <f>'ORÇAMENTO GERAL'!$J$87</f>
        <v>323.98</v>
      </c>
      <c r="AD113" s="291">
        <f t="shared" si="89"/>
        <v>0</v>
      </c>
    </row>
    <row r="114" spans="1:30" s="280" customFormat="1" ht="45" hidden="1" customHeight="1" x14ac:dyDescent="0.4">
      <c r="A114" s="284">
        <v>9</v>
      </c>
      <c r="B114" s="285">
        <f>DADOS!B17</f>
        <v>0</v>
      </c>
      <c r="C114" s="292">
        <v>1</v>
      </c>
      <c r="D114" s="289"/>
      <c r="E114" s="288">
        <f t="shared" si="90"/>
        <v>0</v>
      </c>
      <c r="F114" s="288">
        <f t="shared" si="77"/>
        <v>2.2999999999999998</v>
      </c>
      <c r="G114" s="288">
        <f t="shared" si="78"/>
        <v>2.4</v>
      </c>
      <c r="H114" s="288">
        <v>0.05</v>
      </c>
      <c r="I114" s="288">
        <f t="shared" si="79"/>
        <v>0</v>
      </c>
      <c r="J114" s="289">
        <f t="shared" si="80"/>
        <v>0</v>
      </c>
      <c r="K114" s="311">
        <f t="shared" si="81"/>
        <v>0</v>
      </c>
      <c r="L114" s="288">
        <f t="shared" si="82"/>
        <v>0</v>
      </c>
      <c r="M114" s="289">
        <f t="shared" si="83"/>
        <v>0</v>
      </c>
      <c r="N114" s="288">
        <f t="shared" si="84"/>
        <v>0</v>
      </c>
      <c r="O114" s="288">
        <f t="shared" si="85"/>
        <v>0</v>
      </c>
      <c r="P114" s="288">
        <f t="shared" si="86"/>
        <v>0</v>
      </c>
      <c r="Q114" s="288">
        <f t="shared" si="87"/>
        <v>0</v>
      </c>
      <c r="R114" s="311">
        <f t="shared" si="88"/>
        <v>0</v>
      </c>
      <c r="S114" s="309"/>
      <c r="T114" s="291">
        <f>'ORÇAMENTO GERAL'!$J$78</f>
        <v>1820.35</v>
      </c>
      <c r="U114" s="291">
        <f>'ORÇAMENTO GERAL'!$J$79</f>
        <v>14.63</v>
      </c>
      <c r="V114" s="291">
        <f>'ORÇAMENTO GERAL'!$J$80</f>
        <v>8.07</v>
      </c>
      <c r="W114" s="291">
        <f>'ORÇAMENTO GERAL'!$J$81</f>
        <v>3.54</v>
      </c>
      <c r="X114" s="291">
        <f>'ORÇAMENTO GERAL'!$J$82</f>
        <v>7.02</v>
      </c>
      <c r="Y114" s="291">
        <f>'ORÇAMENTO GERAL'!$J$83</f>
        <v>48.92</v>
      </c>
      <c r="Z114" s="291">
        <f>'ORÇAMENTO GERAL'!$J$84</f>
        <v>169.7</v>
      </c>
      <c r="AA114" s="291">
        <f>'ORÇAMENTO GERAL'!$J$85</f>
        <v>22.65</v>
      </c>
      <c r="AB114" s="291">
        <f>'ORÇAMENTO GERAL'!$J$86</f>
        <v>44.97</v>
      </c>
      <c r="AC114" s="291">
        <f>'ORÇAMENTO GERAL'!$J$87</f>
        <v>323.98</v>
      </c>
      <c r="AD114" s="291">
        <f t="shared" si="89"/>
        <v>0</v>
      </c>
    </row>
    <row r="115" spans="1:30" s="280" customFormat="1" ht="45" hidden="1" customHeight="1" x14ac:dyDescent="0.4">
      <c r="A115" s="284">
        <v>10</v>
      </c>
      <c r="B115" s="285" t="e">
        <f>#REF!</f>
        <v>#REF!</v>
      </c>
      <c r="C115" s="292">
        <v>1</v>
      </c>
      <c r="D115" s="289"/>
      <c r="E115" s="288">
        <f t="shared" si="90"/>
        <v>0</v>
      </c>
      <c r="F115" s="288">
        <f t="shared" si="77"/>
        <v>2.2999999999999998</v>
      </c>
      <c r="G115" s="288">
        <f t="shared" si="78"/>
        <v>2.4</v>
      </c>
      <c r="H115" s="288">
        <v>0.05</v>
      </c>
      <c r="I115" s="288">
        <f t="shared" si="79"/>
        <v>0</v>
      </c>
      <c r="J115" s="289">
        <f t="shared" si="80"/>
        <v>0</v>
      </c>
      <c r="K115" s="311">
        <f t="shared" si="81"/>
        <v>0</v>
      </c>
      <c r="L115" s="288">
        <f t="shared" si="82"/>
        <v>0</v>
      </c>
      <c r="M115" s="289">
        <f t="shared" si="83"/>
        <v>0</v>
      </c>
      <c r="N115" s="288">
        <f t="shared" si="84"/>
        <v>0</v>
      </c>
      <c r="O115" s="288">
        <f t="shared" si="85"/>
        <v>0</v>
      </c>
      <c r="P115" s="288">
        <f t="shared" si="86"/>
        <v>0</v>
      </c>
      <c r="Q115" s="288">
        <f t="shared" si="87"/>
        <v>0</v>
      </c>
      <c r="R115" s="311">
        <f t="shared" si="88"/>
        <v>0</v>
      </c>
      <c r="S115" s="309"/>
      <c r="T115" s="291">
        <f>'ORÇAMENTO GERAL'!$J$78</f>
        <v>1820.35</v>
      </c>
      <c r="U115" s="291">
        <f>'ORÇAMENTO GERAL'!$J$79</f>
        <v>14.63</v>
      </c>
      <c r="V115" s="291">
        <f>'ORÇAMENTO GERAL'!$J$80</f>
        <v>8.07</v>
      </c>
      <c r="W115" s="291">
        <f>'ORÇAMENTO GERAL'!$J$81</f>
        <v>3.54</v>
      </c>
      <c r="X115" s="291">
        <f>'ORÇAMENTO GERAL'!$J$82</f>
        <v>7.02</v>
      </c>
      <c r="Y115" s="291">
        <f>'ORÇAMENTO GERAL'!$J$83</f>
        <v>48.92</v>
      </c>
      <c r="Z115" s="291">
        <f>'ORÇAMENTO GERAL'!$J$84</f>
        <v>169.7</v>
      </c>
      <c r="AA115" s="291">
        <f>'ORÇAMENTO GERAL'!$J$85</f>
        <v>22.65</v>
      </c>
      <c r="AB115" s="291">
        <f>'ORÇAMENTO GERAL'!$J$86</f>
        <v>44.97</v>
      </c>
      <c r="AC115" s="291">
        <f>'ORÇAMENTO GERAL'!$J$87</f>
        <v>323.98</v>
      </c>
      <c r="AD115" s="291">
        <f t="shared" si="89"/>
        <v>0</v>
      </c>
    </row>
    <row r="116" spans="1:30" s="280" customFormat="1" ht="45" hidden="1" customHeight="1" x14ac:dyDescent="0.4">
      <c r="A116" s="284">
        <v>11</v>
      </c>
      <c r="B116" s="285" t="e">
        <f>#REF!</f>
        <v>#REF!</v>
      </c>
      <c r="C116" s="292">
        <v>1</v>
      </c>
      <c r="D116" s="289"/>
      <c r="E116" s="288">
        <f t="shared" si="90"/>
        <v>0</v>
      </c>
      <c r="F116" s="288">
        <f t="shared" si="77"/>
        <v>2.2999999999999998</v>
      </c>
      <c r="G116" s="288">
        <f t="shared" si="78"/>
        <v>2.4</v>
      </c>
      <c r="H116" s="288">
        <v>0.05</v>
      </c>
      <c r="I116" s="288">
        <f t="shared" si="79"/>
        <v>0</v>
      </c>
      <c r="J116" s="289">
        <f t="shared" si="80"/>
        <v>0</v>
      </c>
      <c r="K116" s="311">
        <f t="shared" si="81"/>
        <v>0</v>
      </c>
      <c r="L116" s="288">
        <f t="shared" si="82"/>
        <v>0</v>
      </c>
      <c r="M116" s="289">
        <f t="shared" si="83"/>
        <v>0</v>
      </c>
      <c r="N116" s="288">
        <f t="shared" si="84"/>
        <v>0</v>
      </c>
      <c r="O116" s="288">
        <f t="shared" si="85"/>
        <v>0</v>
      </c>
      <c r="P116" s="288">
        <f t="shared" si="86"/>
        <v>0</v>
      </c>
      <c r="Q116" s="288">
        <f t="shared" si="87"/>
        <v>0</v>
      </c>
      <c r="R116" s="311">
        <f t="shared" si="88"/>
        <v>0</v>
      </c>
      <c r="S116" s="309"/>
      <c r="T116" s="291">
        <f>'ORÇAMENTO GERAL'!$J$78</f>
        <v>1820.35</v>
      </c>
      <c r="U116" s="291">
        <f>'ORÇAMENTO GERAL'!$J$79</f>
        <v>14.63</v>
      </c>
      <c r="V116" s="291">
        <f>'ORÇAMENTO GERAL'!$J$80</f>
        <v>8.07</v>
      </c>
      <c r="W116" s="291">
        <f>'ORÇAMENTO GERAL'!$J$81</f>
        <v>3.54</v>
      </c>
      <c r="X116" s="291">
        <f>'ORÇAMENTO GERAL'!$J$82</f>
        <v>7.02</v>
      </c>
      <c r="Y116" s="291">
        <f>'ORÇAMENTO GERAL'!$J$83</f>
        <v>48.92</v>
      </c>
      <c r="Z116" s="291">
        <f>'ORÇAMENTO GERAL'!$J$84</f>
        <v>169.7</v>
      </c>
      <c r="AA116" s="291">
        <f>'ORÇAMENTO GERAL'!$J$85</f>
        <v>22.65</v>
      </c>
      <c r="AB116" s="291">
        <f>'ORÇAMENTO GERAL'!$J$86</f>
        <v>44.97</v>
      </c>
      <c r="AC116" s="291">
        <f>'ORÇAMENTO GERAL'!$J$87</f>
        <v>323.98</v>
      </c>
      <c r="AD116" s="291">
        <f t="shared" si="89"/>
        <v>0</v>
      </c>
    </row>
    <row r="117" spans="1:30" s="280" customFormat="1" ht="45" hidden="1" customHeight="1" x14ac:dyDescent="0.4">
      <c r="A117" s="284">
        <v>12</v>
      </c>
      <c r="B117" s="285" t="e">
        <f>#REF!</f>
        <v>#REF!</v>
      </c>
      <c r="C117" s="292">
        <v>1</v>
      </c>
      <c r="D117" s="289"/>
      <c r="E117" s="288">
        <f t="shared" si="90"/>
        <v>0</v>
      </c>
      <c r="F117" s="288">
        <f t="shared" si="77"/>
        <v>2.2999999999999998</v>
      </c>
      <c r="G117" s="288">
        <f t="shared" si="78"/>
        <v>2.4</v>
      </c>
      <c r="H117" s="288">
        <v>0.05</v>
      </c>
      <c r="I117" s="288">
        <f t="shared" si="79"/>
        <v>0</v>
      </c>
      <c r="J117" s="289">
        <f t="shared" si="80"/>
        <v>0</v>
      </c>
      <c r="K117" s="311">
        <f t="shared" si="81"/>
        <v>0</v>
      </c>
      <c r="L117" s="288">
        <f t="shared" si="82"/>
        <v>0</v>
      </c>
      <c r="M117" s="289">
        <f t="shared" si="83"/>
        <v>0</v>
      </c>
      <c r="N117" s="288">
        <f>(3.14*0.75^2)*E117</f>
        <v>0</v>
      </c>
      <c r="O117" s="288">
        <f>(I117-N117)*70%</f>
        <v>0</v>
      </c>
      <c r="P117" s="288">
        <f>(I117-N117)*30%</f>
        <v>0</v>
      </c>
      <c r="Q117" s="288">
        <f>E117*G117*2</f>
        <v>0</v>
      </c>
      <c r="R117" s="311">
        <f>E117</f>
        <v>0</v>
      </c>
      <c r="S117" s="309"/>
      <c r="T117" s="291">
        <f>'ORÇAMENTO GERAL'!$J$78</f>
        <v>1820.35</v>
      </c>
      <c r="U117" s="291">
        <f>'ORÇAMENTO GERAL'!$J$79</f>
        <v>14.63</v>
      </c>
      <c r="V117" s="291">
        <f>'ORÇAMENTO GERAL'!$J$80</f>
        <v>8.07</v>
      </c>
      <c r="W117" s="291">
        <f>'ORÇAMENTO GERAL'!$J$81</f>
        <v>3.54</v>
      </c>
      <c r="X117" s="291">
        <f>'ORÇAMENTO GERAL'!$J$82</f>
        <v>7.02</v>
      </c>
      <c r="Y117" s="291">
        <f>'ORÇAMENTO GERAL'!$J$83</f>
        <v>48.92</v>
      </c>
      <c r="Z117" s="291">
        <f>'ORÇAMENTO GERAL'!$J$84</f>
        <v>169.7</v>
      </c>
      <c r="AA117" s="291">
        <f>'ORÇAMENTO GERAL'!$J$85</f>
        <v>22.65</v>
      </c>
      <c r="AB117" s="291">
        <f>'ORÇAMENTO GERAL'!$J$86</f>
        <v>44.97</v>
      </c>
      <c r="AC117" s="291">
        <f>'ORÇAMENTO GERAL'!$J$87</f>
        <v>323.98</v>
      </c>
      <c r="AD117" s="291">
        <f t="shared" si="89"/>
        <v>0</v>
      </c>
    </row>
    <row r="118" spans="1:30" s="280" customFormat="1" ht="45" hidden="1" customHeight="1" x14ac:dyDescent="0.4">
      <c r="A118" s="284">
        <v>13</v>
      </c>
      <c r="B118" s="285" t="e">
        <f>#REF!</f>
        <v>#REF!</v>
      </c>
      <c r="C118" s="292">
        <v>1</v>
      </c>
      <c r="D118" s="289"/>
      <c r="E118" s="288">
        <f t="shared" si="90"/>
        <v>0</v>
      </c>
      <c r="F118" s="288">
        <f t="shared" si="77"/>
        <v>2.2999999999999998</v>
      </c>
      <c r="G118" s="288">
        <f t="shared" si="78"/>
        <v>2.4</v>
      </c>
      <c r="H118" s="288">
        <v>0.05</v>
      </c>
      <c r="I118" s="288">
        <f t="shared" si="79"/>
        <v>0</v>
      </c>
      <c r="J118" s="289">
        <f t="shared" si="80"/>
        <v>0</v>
      </c>
      <c r="K118" s="311">
        <f t="shared" si="81"/>
        <v>0</v>
      </c>
      <c r="L118" s="288">
        <f t="shared" si="82"/>
        <v>0</v>
      </c>
      <c r="M118" s="289">
        <f t="shared" si="83"/>
        <v>0</v>
      </c>
      <c r="N118" s="288">
        <f t="shared" si="84"/>
        <v>0</v>
      </c>
      <c r="O118" s="288">
        <f t="shared" si="85"/>
        <v>0</v>
      </c>
      <c r="P118" s="288">
        <f t="shared" si="86"/>
        <v>0</v>
      </c>
      <c r="Q118" s="288">
        <f t="shared" si="87"/>
        <v>0</v>
      </c>
      <c r="R118" s="311">
        <f t="shared" si="88"/>
        <v>0</v>
      </c>
      <c r="S118" s="309"/>
      <c r="T118" s="291">
        <f>'ORÇAMENTO GERAL'!$J$78</f>
        <v>1820.35</v>
      </c>
      <c r="U118" s="291">
        <f>'ORÇAMENTO GERAL'!$J$79</f>
        <v>14.63</v>
      </c>
      <c r="V118" s="291">
        <f>'ORÇAMENTO GERAL'!$J$80</f>
        <v>8.07</v>
      </c>
      <c r="W118" s="291">
        <f>'ORÇAMENTO GERAL'!$J$81</f>
        <v>3.54</v>
      </c>
      <c r="X118" s="291">
        <f>'ORÇAMENTO GERAL'!$J$82</f>
        <v>7.02</v>
      </c>
      <c r="Y118" s="291">
        <f>'ORÇAMENTO GERAL'!$J$83</f>
        <v>48.92</v>
      </c>
      <c r="Z118" s="291">
        <f>'ORÇAMENTO GERAL'!$J$84</f>
        <v>169.7</v>
      </c>
      <c r="AA118" s="291">
        <f>'ORÇAMENTO GERAL'!$J$85</f>
        <v>22.65</v>
      </c>
      <c r="AB118" s="291">
        <f>'ORÇAMENTO GERAL'!$J$86</f>
        <v>44.97</v>
      </c>
      <c r="AC118" s="291">
        <f>'ORÇAMENTO GERAL'!$J$87</f>
        <v>323.98</v>
      </c>
      <c r="AD118" s="291">
        <f t="shared" si="89"/>
        <v>0</v>
      </c>
    </row>
    <row r="119" spans="1:30" s="280" customFormat="1" ht="45" hidden="1" customHeight="1" x14ac:dyDescent="0.4">
      <c r="A119" s="284">
        <v>14</v>
      </c>
      <c r="B119" s="285" t="e">
        <f>#REF!</f>
        <v>#REF!</v>
      </c>
      <c r="C119" s="292">
        <v>1</v>
      </c>
      <c r="D119" s="289"/>
      <c r="E119" s="288">
        <f t="shared" si="90"/>
        <v>0</v>
      </c>
      <c r="F119" s="288">
        <f t="shared" si="77"/>
        <v>2.2999999999999998</v>
      </c>
      <c r="G119" s="288">
        <f t="shared" si="78"/>
        <v>2.4</v>
      </c>
      <c r="H119" s="288">
        <v>0.05</v>
      </c>
      <c r="I119" s="288">
        <f t="shared" si="79"/>
        <v>0</v>
      </c>
      <c r="J119" s="289">
        <f t="shared" si="80"/>
        <v>0</v>
      </c>
      <c r="K119" s="311">
        <f t="shared" si="81"/>
        <v>0</v>
      </c>
      <c r="L119" s="288">
        <f t="shared" si="82"/>
        <v>0</v>
      </c>
      <c r="M119" s="289">
        <f t="shared" si="83"/>
        <v>0</v>
      </c>
      <c r="N119" s="288">
        <f t="shared" si="84"/>
        <v>0</v>
      </c>
      <c r="O119" s="288">
        <f t="shared" si="85"/>
        <v>0</v>
      </c>
      <c r="P119" s="288">
        <f t="shared" si="86"/>
        <v>0</v>
      </c>
      <c r="Q119" s="288">
        <f t="shared" si="87"/>
        <v>0</v>
      </c>
      <c r="R119" s="311">
        <f t="shared" si="88"/>
        <v>0</v>
      </c>
      <c r="S119" s="309"/>
      <c r="T119" s="291">
        <f>'ORÇAMENTO GERAL'!$J$78</f>
        <v>1820.35</v>
      </c>
      <c r="U119" s="291">
        <f>'ORÇAMENTO GERAL'!$J$79</f>
        <v>14.63</v>
      </c>
      <c r="V119" s="291">
        <f>'ORÇAMENTO GERAL'!$J$80</f>
        <v>8.07</v>
      </c>
      <c r="W119" s="291">
        <f>'ORÇAMENTO GERAL'!$J$81</f>
        <v>3.54</v>
      </c>
      <c r="X119" s="291">
        <f>'ORÇAMENTO GERAL'!$J$82</f>
        <v>7.02</v>
      </c>
      <c r="Y119" s="291">
        <f>'ORÇAMENTO GERAL'!$J$83</f>
        <v>48.92</v>
      </c>
      <c r="Z119" s="291">
        <f>'ORÇAMENTO GERAL'!$J$84</f>
        <v>169.7</v>
      </c>
      <c r="AA119" s="291">
        <f>'ORÇAMENTO GERAL'!$J$85</f>
        <v>22.65</v>
      </c>
      <c r="AB119" s="291">
        <f>'ORÇAMENTO GERAL'!$J$86</f>
        <v>44.97</v>
      </c>
      <c r="AC119" s="291">
        <f>'ORÇAMENTO GERAL'!$J$87</f>
        <v>323.98</v>
      </c>
      <c r="AD119" s="291">
        <f t="shared" si="89"/>
        <v>0</v>
      </c>
    </row>
    <row r="120" spans="1:30" s="280" customFormat="1" ht="45" hidden="1" customHeight="1" x14ac:dyDescent="0.4">
      <c r="A120" s="284">
        <v>15</v>
      </c>
      <c r="B120" s="285" t="e">
        <f>#REF!</f>
        <v>#REF!</v>
      </c>
      <c r="C120" s="292">
        <v>1</v>
      </c>
      <c r="D120" s="289"/>
      <c r="E120" s="288">
        <f t="shared" si="90"/>
        <v>0</v>
      </c>
      <c r="F120" s="288">
        <f t="shared" si="77"/>
        <v>2.2999999999999998</v>
      </c>
      <c r="G120" s="288">
        <f t="shared" si="78"/>
        <v>2.4</v>
      </c>
      <c r="H120" s="288">
        <v>0.05</v>
      </c>
      <c r="I120" s="288">
        <f t="shared" si="79"/>
        <v>0</v>
      </c>
      <c r="J120" s="289">
        <f t="shared" si="80"/>
        <v>0</v>
      </c>
      <c r="K120" s="311">
        <f t="shared" si="81"/>
        <v>0</v>
      </c>
      <c r="L120" s="288">
        <f t="shared" si="82"/>
        <v>0</v>
      </c>
      <c r="M120" s="289">
        <f t="shared" si="83"/>
        <v>0</v>
      </c>
      <c r="N120" s="288">
        <f t="shared" si="84"/>
        <v>0</v>
      </c>
      <c r="O120" s="288">
        <f t="shared" si="85"/>
        <v>0</v>
      </c>
      <c r="P120" s="288">
        <f t="shared" si="86"/>
        <v>0</v>
      </c>
      <c r="Q120" s="288">
        <f t="shared" si="87"/>
        <v>0</v>
      </c>
      <c r="R120" s="311">
        <f t="shared" si="88"/>
        <v>0</v>
      </c>
      <c r="S120" s="309"/>
      <c r="T120" s="291">
        <f>'ORÇAMENTO GERAL'!$J$78</f>
        <v>1820.35</v>
      </c>
      <c r="U120" s="291">
        <f>'ORÇAMENTO GERAL'!$J$79</f>
        <v>14.63</v>
      </c>
      <c r="V120" s="291">
        <f>'ORÇAMENTO GERAL'!$J$80</f>
        <v>8.07</v>
      </c>
      <c r="W120" s="291">
        <f>'ORÇAMENTO GERAL'!$J$81</f>
        <v>3.54</v>
      </c>
      <c r="X120" s="291">
        <f>'ORÇAMENTO GERAL'!$J$82</f>
        <v>7.02</v>
      </c>
      <c r="Y120" s="291">
        <f>'ORÇAMENTO GERAL'!$J$83</f>
        <v>48.92</v>
      </c>
      <c r="Z120" s="291">
        <f>'ORÇAMENTO GERAL'!$J$84</f>
        <v>169.7</v>
      </c>
      <c r="AA120" s="291">
        <f>'ORÇAMENTO GERAL'!$J$85</f>
        <v>22.65</v>
      </c>
      <c r="AB120" s="291">
        <f>'ORÇAMENTO GERAL'!$J$86</f>
        <v>44.97</v>
      </c>
      <c r="AC120" s="291">
        <f>'ORÇAMENTO GERAL'!$J$87</f>
        <v>323.98</v>
      </c>
      <c r="AD120" s="291">
        <f t="shared" si="89"/>
        <v>0</v>
      </c>
    </row>
    <row r="121" spans="1:30" s="280" customFormat="1" ht="45" hidden="1" customHeight="1" x14ac:dyDescent="0.4">
      <c r="A121" s="284">
        <v>16</v>
      </c>
      <c r="B121" s="285" t="e">
        <f>#REF!</f>
        <v>#REF!</v>
      </c>
      <c r="C121" s="292">
        <v>1</v>
      </c>
      <c r="D121" s="289"/>
      <c r="E121" s="288">
        <f t="shared" si="90"/>
        <v>0</v>
      </c>
      <c r="F121" s="288">
        <f t="shared" si="77"/>
        <v>2.2999999999999998</v>
      </c>
      <c r="G121" s="288">
        <f t="shared" si="78"/>
        <v>2.4</v>
      </c>
      <c r="H121" s="288">
        <v>0.05</v>
      </c>
      <c r="I121" s="288">
        <f t="shared" si="79"/>
        <v>0</v>
      </c>
      <c r="J121" s="289">
        <f t="shared" si="80"/>
        <v>0</v>
      </c>
      <c r="K121" s="311">
        <f t="shared" si="81"/>
        <v>0</v>
      </c>
      <c r="L121" s="288">
        <f t="shared" si="82"/>
        <v>0</v>
      </c>
      <c r="M121" s="289">
        <f t="shared" si="83"/>
        <v>0</v>
      </c>
      <c r="N121" s="288">
        <f t="shared" si="84"/>
        <v>0</v>
      </c>
      <c r="O121" s="288">
        <f t="shared" si="85"/>
        <v>0</v>
      </c>
      <c r="P121" s="288">
        <f t="shared" si="86"/>
        <v>0</v>
      </c>
      <c r="Q121" s="288">
        <f t="shared" si="87"/>
        <v>0</v>
      </c>
      <c r="R121" s="311">
        <f t="shared" si="88"/>
        <v>0</v>
      </c>
      <c r="S121" s="309"/>
      <c r="T121" s="291">
        <f>'ORÇAMENTO GERAL'!$J$78</f>
        <v>1820.35</v>
      </c>
      <c r="U121" s="291">
        <f>'ORÇAMENTO GERAL'!$J$79</f>
        <v>14.63</v>
      </c>
      <c r="V121" s="291">
        <f>'ORÇAMENTO GERAL'!$J$80</f>
        <v>8.07</v>
      </c>
      <c r="W121" s="291">
        <f>'ORÇAMENTO GERAL'!$J$81</f>
        <v>3.54</v>
      </c>
      <c r="X121" s="291">
        <f>'ORÇAMENTO GERAL'!$J$82</f>
        <v>7.02</v>
      </c>
      <c r="Y121" s="291">
        <f>'ORÇAMENTO GERAL'!$J$83</f>
        <v>48.92</v>
      </c>
      <c r="Z121" s="291">
        <f>'ORÇAMENTO GERAL'!$J$84</f>
        <v>169.7</v>
      </c>
      <c r="AA121" s="291">
        <f>'ORÇAMENTO GERAL'!$J$85</f>
        <v>22.65</v>
      </c>
      <c r="AB121" s="291">
        <f>'ORÇAMENTO GERAL'!$J$86</f>
        <v>44.97</v>
      </c>
      <c r="AC121" s="291">
        <f>'ORÇAMENTO GERAL'!$J$87</f>
        <v>323.98</v>
      </c>
      <c r="AD121" s="291">
        <f t="shared" si="89"/>
        <v>0</v>
      </c>
    </row>
    <row r="122" spans="1:30" s="280" customFormat="1" ht="45" hidden="1" customHeight="1" x14ac:dyDescent="0.4">
      <c r="A122" s="284">
        <v>17</v>
      </c>
      <c r="B122" s="285" t="e">
        <f>#REF!</f>
        <v>#REF!</v>
      </c>
      <c r="C122" s="292">
        <v>1</v>
      </c>
      <c r="D122" s="289"/>
      <c r="E122" s="288">
        <f t="shared" si="90"/>
        <v>0</v>
      </c>
      <c r="F122" s="288">
        <f t="shared" si="77"/>
        <v>2.2999999999999998</v>
      </c>
      <c r="G122" s="288">
        <f t="shared" si="78"/>
        <v>2.4</v>
      </c>
      <c r="H122" s="288">
        <v>0.05</v>
      </c>
      <c r="I122" s="288">
        <f t="shared" si="79"/>
        <v>0</v>
      </c>
      <c r="J122" s="289">
        <f t="shared" si="80"/>
        <v>0</v>
      </c>
      <c r="K122" s="311">
        <f t="shared" si="81"/>
        <v>0</v>
      </c>
      <c r="L122" s="288">
        <f t="shared" si="82"/>
        <v>0</v>
      </c>
      <c r="M122" s="289">
        <f t="shared" si="83"/>
        <v>0</v>
      </c>
      <c r="N122" s="288">
        <f t="shared" si="84"/>
        <v>0</v>
      </c>
      <c r="O122" s="288">
        <f t="shared" si="85"/>
        <v>0</v>
      </c>
      <c r="P122" s="288">
        <f t="shared" si="86"/>
        <v>0</v>
      </c>
      <c r="Q122" s="288">
        <f t="shared" si="87"/>
        <v>0</v>
      </c>
      <c r="R122" s="311">
        <f t="shared" si="88"/>
        <v>0</v>
      </c>
      <c r="S122" s="309"/>
      <c r="T122" s="291">
        <f>'ORÇAMENTO GERAL'!$J$78</f>
        <v>1820.35</v>
      </c>
      <c r="U122" s="291">
        <f>'ORÇAMENTO GERAL'!$J$79</f>
        <v>14.63</v>
      </c>
      <c r="V122" s="291">
        <f>'ORÇAMENTO GERAL'!$J$80</f>
        <v>8.07</v>
      </c>
      <c r="W122" s="291">
        <f>'ORÇAMENTO GERAL'!$J$81</f>
        <v>3.54</v>
      </c>
      <c r="X122" s="291">
        <f>'ORÇAMENTO GERAL'!$J$82</f>
        <v>7.02</v>
      </c>
      <c r="Y122" s="291">
        <f>'ORÇAMENTO GERAL'!$J$83</f>
        <v>48.92</v>
      </c>
      <c r="Z122" s="291">
        <f>'ORÇAMENTO GERAL'!$J$84</f>
        <v>169.7</v>
      </c>
      <c r="AA122" s="291">
        <f>'ORÇAMENTO GERAL'!$J$85</f>
        <v>22.65</v>
      </c>
      <c r="AB122" s="291">
        <f>'ORÇAMENTO GERAL'!$J$86</f>
        <v>44.97</v>
      </c>
      <c r="AC122" s="291">
        <f>'ORÇAMENTO GERAL'!$J$87</f>
        <v>323.98</v>
      </c>
      <c r="AD122" s="291">
        <f t="shared" si="89"/>
        <v>0</v>
      </c>
    </row>
    <row r="123" spans="1:30" s="280" customFormat="1" ht="45" hidden="1" customHeight="1" x14ac:dyDescent="0.4">
      <c r="A123" s="284">
        <v>18</v>
      </c>
      <c r="B123" s="285" t="e">
        <f>#REF!</f>
        <v>#REF!</v>
      </c>
      <c r="C123" s="292">
        <v>1</v>
      </c>
      <c r="D123" s="289"/>
      <c r="E123" s="288">
        <f t="shared" si="90"/>
        <v>0</v>
      </c>
      <c r="F123" s="288">
        <f t="shared" si="77"/>
        <v>2.2999999999999998</v>
      </c>
      <c r="G123" s="288">
        <f t="shared" si="78"/>
        <v>2.4</v>
      </c>
      <c r="H123" s="288">
        <v>0.05</v>
      </c>
      <c r="I123" s="288">
        <f t="shared" si="79"/>
        <v>0</v>
      </c>
      <c r="J123" s="289">
        <f t="shared" si="80"/>
        <v>0</v>
      </c>
      <c r="K123" s="311">
        <f t="shared" si="81"/>
        <v>0</v>
      </c>
      <c r="L123" s="288">
        <f t="shared" si="82"/>
        <v>0</v>
      </c>
      <c r="M123" s="289">
        <f t="shared" si="83"/>
        <v>0</v>
      </c>
      <c r="N123" s="288">
        <f t="shared" si="84"/>
        <v>0</v>
      </c>
      <c r="O123" s="288">
        <f t="shared" si="85"/>
        <v>0</v>
      </c>
      <c r="P123" s="288">
        <f t="shared" si="86"/>
        <v>0</v>
      </c>
      <c r="Q123" s="288">
        <f t="shared" si="87"/>
        <v>0</v>
      </c>
      <c r="R123" s="311">
        <f t="shared" si="88"/>
        <v>0</v>
      </c>
      <c r="S123" s="309"/>
      <c r="T123" s="291">
        <f>'ORÇAMENTO GERAL'!$J$78</f>
        <v>1820.35</v>
      </c>
      <c r="U123" s="291">
        <f>'ORÇAMENTO GERAL'!$J$79</f>
        <v>14.63</v>
      </c>
      <c r="V123" s="291">
        <f>'ORÇAMENTO GERAL'!$J$80</f>
        <v>8.07</v>
      </c>
      <c r="W123" s="291">
        <f>'ORÇAMENTO GERAL'!$J$81</f>
        <v>3.54</v>
      </c>
      <c r="X123" s="291">
        <f>'ORÇAMENTO GERAL'!$J$82</f>
        <v>7.02</v>
      </c>
      <c r="Y123" s="291">
        <f>'ORÇAMENTO GERAL'!$J$83</f>
        <v>48.92</v>
      </c>
      <c r="Z123" s="291">
        <f>'ORÇAMENTO GERAL'!$J$84</f>
        <v>169.7</v>
      </c>
      <c r="AA123" s="291">
        <f>'ORÇAMENTO GERAL'!$J$85</f>
        <v>22.65</v>
      </c>
      <c r="AB123" s="291">
        <f>'ORÇAMENTO GERAL'!$J$86</f>
        <v>44.97</v>
      </c>
      <c r="AC123" s="291">
        <f>'ORÇAMENTO GERAL'!$J$87</f>
        <v>323.98</v>
      </c>
      <c r="AD123" s="291">
        <f t="shared" si="89"/>
        <v>0</v>
      </c>
    </row>
    <row r="124" spans="1:30" s="280" customFormat="1" ht="45" hidden="1" customHeight="1" x14ac:dyDescent="0.4">
      <c r="A124" s="284">
        <v>19</v>
      </c>
      <c r="B124" s="285" t="e">
        <f>#REF!</f>
        <v>#REF!</v>
      </c>
      <c r="C124" s="292">
        <v>1</v>
      </c>
      <c r="D124" s="289"/>
      <c r="E124" s="288">
        <f t="shared" si="90"/>
        <v>0</v>
      </c>
      <c r="F124" s="288">
        <f t="shared" si="77"/>
        <v>2.2999999999999998</v>
      </c>
      <c r="G124" s="288">
        <f t="shared" si="78"/>
        <v>2.4</v>
      </c>
      <c r="H124" s="288">
        <v>0.05</v>
      </c>
      <c r="I124" s="288">
        <f t="shared" si="79"/>
        <v>0</v>
      </c>
      <c r="J124" s="289">
        <f t="shared" si="80"/>
        <v>0</v>
      </c>
      <c r="K124" s="311">
        <f t="shared" si="81"/>
        <v>0</v>
      </c>
      <c r="L124" s="288">
        <f t="shared" si="82"/>
        <v>0</v>
      </c>
      <c r="M124" s="289">
        <f t="shared" si="83"/>
        <v>0</v>
      </c>
      <c r="N124" s="288">
        <f t="shared" si="84"/>
        <v>0</v>
      </c>
      <c r="O124" s="288">
        <f t="shared" si="85"/>
        <v>0</v>
      </c>
      <c r="P124" s="288">
        <f t="shared" si="86"/>
        <v>0</v>
      </c>
      <c r="Q124" s="288">
        <f t="shared" si="87"/>
        <v>0</v>
      </c>
      <c r="R124" s="311">
        <f t="shared" si="88"/>
        <v>0</v>
      </c>
      <c r="S124" s="309"/>
      <c r="T124" s="291">
        <f>'ORÇAMENTO GERAL'!$J$78</f>
        <v>1820.35</v>
      </c>
      <c r="U124" s="291">
        <f>'ORÇAMENTO GERAL'!$J$79</f>
        <v>14.63</v>
      </c>
      <c r="V124" s="291">
        <f>'ORÇAMENTO GERAL'!$J$80</f>
        <v>8.07</v>
      </c>
      <c r="W124" s="291">
        <f>'ORÇAMENTO GERAL'!$J$81</f>
        <v>3.54</v>
      </c>
      <c r="X124" s="291">
        <f>'ORÇAMENTO GERAL'!$J$82</f>
        <v>7.02</v>
      </c>
      <c r="Y124" s="291">
        <f>'ORÇAMENTO GERAL'!$J$83</f>
        <v>48.92</v>
      </c>
      <c r="Z124" s="291">
        <f>'ORÇAMENTO GERAL'!$J$84</f>
        <v>169.7</v>
      </c>
      <c r="AA124" s="291">
        <f>'ORÇAMENTO GERAL'!$J$85</f>
        <v>22.65</v>
      </c>
      <c r="AB124" s="291">
        <f>'ORÇAMENTO GERAL'!$J$86</f>
        <v>44.97</v>
      </c>
      <c r="AC124" s="291">
        <f>'ORÇAMENTO GERAL'!$J$87</f>
        <v>323.98</v>
      </c>
      <c r="AD124" s="291">
        <f t="shared" si="89"/>
        <v>0</v>
      </c>
    </row>
    <row r="125" spans="1:30" s="280" customFormat="1" ht="45" hidden="1" customHeight="1" thickBot="1" x14ac:dyDescent="0.45">
      <c r="A125" s="315">
        <v>20</v>
      </c>
      <c r="B125" s="457" t="e">
        <f>#REF!</f>
        <v>#REF!</v>
      </c>
      <c r="C125" s="458">
        <v>1</v>
      </c>
      <c r="D125" s="289"/>
      <c r="E125" s="459">
        <f t="shared" si="90"/>
        <v>0</v>
      </c>
      <c r="F125" s="459">
        <f t="shared" si="77"/>
        <v>2.2999999999999998</v>
      </c>
      <c r="G125" s="459">
        <f t="shared" si="78"/>
        <v>2.4</v>
      </c>
      <c r="H125" s="459">
        <v>0.05</v>
      </c>
      <c r="I125" s="288">
        <f t="shared" si="79"/>
        <v>0</v>
      </c>
      <c r="J125" s="289">
        <f t="shared" si="80"/>
        <v>0</v>
      </c>
      <c r="K125" s="311">
        <f t="shared" si="81"/>
        <v>0</v>
      </c>
      <c r="L125" s="288">
        <f t="shared" si="82"/>
        <v>0</v>
      </c>
      <c r="M125" s="289">
        <f t="shared" si="83"/>
        <v>0</v>
      </c>
      <c r="N125" s="288">
        <f t="shared" si="84"/>
        <v>0</v>
      </c>
      <c r="O125" s="288">
        <f t="shared" si="85"/>
        <v>0</v>
      </c>
      <c r="P125" s="288">
        <f t="shared" si="86"/>
        <v>0</v>
      </c>
      <c r="Q125" s="288">
        <f t="shared" si="87"/>
        <v>0</v>
      </c>
      <c r="R125" s="311">
        <f t="shared" si="88"/>
        <v>0</v>
      </c>
      <c r="S125" s="309"/>
      <c r="T125" s="291">
        <f>'ORÇAMENTO GERAL'!$J$78</f>
        <v>1820.35</v>
      </c>
      <c r="U125" s="291">
        <f>'ORÇAMENTO GERAL'!$J$79</f>
        <v>14.63</v>
      </c>
      <c r="V125" s="291">
        <f>'ORÇAMENTO GERAL'!$J$80</f>
        <v>8.07</v>
      </c>
      <c r="W125" s="291">
        <f>'ORÇAMENTO GERAL'!$J$81</f>
        <v>3.54</v>
      </c>
      <c r="X125" s="291">
        <f>'ORÇAMENTO GERAL'!$J$82</f>
        <v>7.02</v>
      </c>
      <c r="Y125" s="291">
        <f>'ORÇAMENTO GERAL'!$J$83</f>
        <v>48.92</v>
      </c>
      <c r="Z125" s="291">
        <f>'ORÇAMENTO GERAL'!$J$84</f>
        <v>169.7</v>
      </c>
      <c r="AA125" s="291">
        <f>'ORÇAMENTO GERAL'!$J$85</f>
        <v>22.65</v>
      </c>
      <c r="AB125" s="291">
        <f>'ORÇAMENTO GERAL'!$J$86</f>
        <v>44.97</v>
      </c>
      <c r="AC125" s="291">
        <f>'ORÇAMENTO GERAL'!$J$87</f>
        <v>323.98</v>
      </c>
      <c r="AD125" s="291">
        <f t="shared" si="89"/>
        <v>0</v>
      </c>
    </row>
    <row r="126" spans="1:30" s="280" customFormat="1" ht="45" hidden="1" customHeight="1" thickBot="1" x14ac:dyDescent="0.45">
      <c r="A126" s="723" t="s">
        <v>23</v>
      </c>
      <c r="B126" s="724"/>
      <c r="C126" s="293"/>
      <c r="D126" s="293"/>
      <c r="E126" s="293">
        <f>SUM(E106:E125)</f>
        <v>0</v>
      </c>
      <c r="F126" s="293"/>
      <c r="G126" s="293"/>
      <c r="H126" s="293"/>
      <c r="I126" s="293">
        <f>SUM(I106:I125)</f>
        <v>0</v>
      </c>
      <c r="J126" s="293">
        <f>SUM(J106:J125)</f>
        <v>0</v>
      </c>
      <c r="K126" s="293">
        <f>SUM(K106:K125)</f>
        <v>0</v>
      </c>
      <c r="L126" s="293">
        <f>SUM(L106:L125)</f>
        <v>0</v>
      </c>
      <c r="M126" s="293">
        <f>SUM(M106:M125)</f>
        <v>0</v>
      </c>
      <c r="N126" s="293"/>
      <c r="O126" s="293">
        <f>SUM(O106:O125)</f>
        <v>0</v>
      </c>
      <c r="P126" s="293">
        <f>SUM(P106:P125)</f>
        <v>0</v>
      </c>
      <c r="Q126" s="293">
        <f>SUM(Q106:Q125)</f>
        <v>0</v>
      </c>
      <c r="R126" s="293">
        <f>SUM(R106:R125)</f>
        <v>0</v>
      </c>
      <c r="S126" s="308"/>
    </row>
    <row r="127" spans="1:30" s="280" customFormat="1" ht="45" customHeight="1" x14ac:dyDescent="0.4">
      <c r="C127" s="298"/>
      <c r="D127" s="298"/>
      <c r="E127" s="298"/>
      <c r="F127" s="298"/>
      <c r="G127" s="298"/>
      <c r="H127" s="298"/>
      <c r="AD127" s="414"/>
    </row>
    <row r="128" spans="1:30" s="280" customFormat="1" ht="45" customHeight="1" x14ac:dyDescent="0.4">
      <c r="A128" s="737" t="s">
        <v>392</v>
      </c>
      <c r="B128" s="737"/>
      <c r="C128" s="737"/>
      <c r="D128" s="737"/>
      <c r="E128" s="737"/>
      <c r="F128" s="298"/>
      <c r="G128" s="298"/>
      <c r="H128" s="298"/>
      <c r="AC128" s="725" t="str">
        <f>A128</f>
        <v>CAIXA PARA BOCA DE LOBO</v>
      </c>
      <c r="AD128" s="726"/>
    </row>
    <row r="129" spans="1:30" ht="50.1" customHeight="1" x14ac:dyDescent="0.2">
      <c r="A129" s="274" t="s">
        <v>7</v>
      </c>
      <c r="B129" s="274" t="s">
        <v>235</v>
      </c>
      <c r="C129" s="733" t="s">
        <v>238</v>
      </c>
      <c r="D129" s="733"/>
      <c r="E129" s="733"/>
      <c r="AC129" s="406" t="s">
        <v>541</v>
      </c>
      <c r="AD129" s="406" t="s">
        <v>23</v>
      </c>
    </row>
    <row r="130" spans="1:30" ht="50.1" customHeight="1" x14ac:dyDescent="0.2">
      <c r="A130" s="407">
        <f>DADOS!A9</f>
        <v>1</v>
      </c>
      <c r="B130" s="612" t="str">
        <f>DADOS!B9</f>
        <v>TV. BEIRA RIO</v>
      </c>
      <c r="C130" s="734">
        <f>C14</f>
        <v>0</v>
      </c>
      <c r="D130" s="735"/>
      <c r="E130" s="736"/>
      <c r="AC130" s="416">
        <f>'ORÇAMENTO GERAL'!$J$89</f>
        <v>1933.22</v>
      </c>
      <c r="AD130" s="416">
        <f t="shared" ref="AD130:AD136" si="91">C130*AC130</f>
        <v>0</v>
      </c>
    </row>
    <row r="131" spans="1:30" ht="50.1" customHeight="1" x14ac:dyDescent="0.2">
      <c r="A131" s="407">
        <v>1</v>
      </c>
      <c r="B131" s="612" t="str">
        <f>DADOS!B10</f>
        <v>RUA MOCAJATUBA</v>
      </c>
      <c r="C131" s="734">
        <f t="shared" ref="C131:C137" si="92">C15</f>
        <v>7</v>
      </c>
      <c r="D131" s="735"/>
      <c r="E131" s="736"/>
      <c r="AC131" s="416">
        <f>'ORÇAMENTO GERAL'!$J$89</f>
        <v>1933.22</v>
      </c>
      <c r="AD131" s="416">
        <f t="shared" si="91"/>
        <v>13532.54</v>
      </c>
    </row>
    <row r="132" spans="1:30" ht="50.1" hidden="1" customHeight="1" x14ac:dyDescent="0.2">
      <c r="A132" s="407">
        <v>3</v>
      </c>
      <c r="B132" s="612">
        <f>DADOS!B11</f>
        <v>0</v>
      </c>
      <c r="C132" s="734">
        <f t="shared" si="92"/>
        <v>0</v>
      </c>
      <c r="D132" s="735"/>
      <c r="E132" s="736"/>
      <c r="AC132" s="416">
        <f>'ORÇAMENTO GERAL'!$J$89</f>
        <v>1933.22</v>
      </c>
      <c r="AD132" s="416">
        <f t="shared" si="91"/>
        <v>0</v>
      </c>
    </row>
    <row r="133" spans="1:30" ht="50.1" hidden="1" customHeight="1" x14ac:dyDescent="0.2">
      <c r="A133" s="407">
        <f>DADOS!A12</f>
        <v>4</v>
      </c>
      <c r="B133" s="612">
        <f>DADOS!B12</f>
        <v>0</v>
      </c>
      <c r="C133" s="734">
        <f t="shared" si="92"/>
        <v>0</v>
      </c>
      <c r="D133" s="735"/>
      <c r="E133" s="736"/>
      <c r="AC133" s="416">
        <f>'ORÇAMENTO GERAL'!$J$89</f>
        <v>1933.22</v>
      </c>
      <c r="AD133" s="416">
        <f t="shared" si="91"/>
        <v>0</v>
      </c>
    </row>
    <row r="134" spans="1:30" ht="50.1" hidden="1" customHeight="1" x14ac:dyDescent="0.2">
      <c r="A134" s="407">
        <v>5</v>
      </c>
      <c r="B134" s="612">
        <f>DADOS!B13</f>
        <v>0</v>
      </c>
      <c r="C134" s="734">
        <f t="shared" si="92"/>
        <v>0</v>
      </c>
      <c r="D134" s="735"/>
      <c r="E134" s="736"/>
      <c r="AC134" s="416">
        <f>'ORÇAMENTO GERAL'!$J$89</f>
        <v>1933.22</v>
      </c>
      <c r="AD134" s="416">
        <f t="shared" si="91"/>
        <v>0</v>
      </c>
    </row>
    <row r="135" spans="1:30" ht="50.1" hidden="1" customHeight="1" x14ac:dyDescent="0.2">
      <c r="A135" s="407">
        <f>DADOS!A14</f>
        <v>6</v>
      </c>
      <c r="B135" s="612">
        <f>DADOS!B14</f>
        <v>0</v>
      </c>
      <c r="C135" s="734">
        <f t="shared" si="92"/>
        <v>0</v>
      </c>
      <c r="D135" s="735"/>
      <c r="E135" s="736"/>
      <c r="AC135" s="416">
        <f>'ORÇAMENTO GERAL'!$J$89</f>
        <v>1933.22</v>
      </c>
      <c r="AD135" s="416">
        <f t="shared" si="91"/>
        <v>0</v>
      </c>
    </row>
    <row r="136" spans="1:30" ht="50.1" hidden="1" customHeight="1" x14ac:dyDescent="0.2">
      <c r="A136" s="407">
        <f>DADOS!A15</f>
        <v>7</v>
      </c>
      <c r="B136" s="612">
        <f>DADOS!B15</f>
        <v>0</v>
      </c>
      <c r="C136" s="734">
        <f t="shared" si="92"/>
        <v>0</v>
      </c>
      <c r="D136" s="735"/>
      <c r="E136" s="736"/>
      <c r="AC136" s="416">
        <f>'ORÇAMENTO GERAL'!$J$89</f>
        <v>1933.22</v>
      </c>
      <c r="AD136" s="416">
        <f t="shared" si="91"/>
        <v>0</v>
      </c>
    </row>
    <row r="137" spans="1:30" ht="50.1" hidden="1" customHeight="1" x14ac:dyDescent="0.2">
      <c r="A137" s="407">
        <f>DADOS!A16</f>
        <v>8</v>
      </c>
      <c r="B137" s="612">
        <f>DADOS!B16</f>
        <v>0</v>
      </c>
      <c r="C137" s="734">
        <f t="shared" si="92"/>
        <v>0</v>
      </c>
      <c r="D137" s="735"/>
      <c r="E137" s="736"/>
      <c r="AC137" s="416">
        <f>'ORÇAMENTO GERAL'!$J$89</f>
        <v>1933.22</v>
      </c>
      <c r="AD137" s="416">
        <f>C137*AC137</f>
        <v>0</v>
      </c>
    </row>
    <row r="138" spans="1:30" ht="50.1" customHeight="1" x14ac:dyDescent="0.2">
      <c r="A138" s="731" t="s">
        <v>23</v>
      </c>
      <c r="B138" s="731"/>
      <c r="C138" s="732">
        <f>SUM(C130:E137)</f>
        <v>7</v>
      </c>
      <c r="D138" s="732"/>
      <c r="E138" s="732"/>
      <c r="AC138" s="417"/>
      <c r="AD138" s="417"/>
    </row>
    <row r="139" spans="1:30" ht="50.1" customHeight="1" x14ac:dyDescent="0.2">
      <c r="A139" s="300"/>
      <c r="B139" s="300"/>
      <c r="C139" s="300"/>
      <c r="D139" s="300"/>
      <c r="AC139" s="417"/>
      <c r="AD139" s="417"/>
    </row>
    <row r="140" spans="1:30" s="280" customFormat="1" ht="45" customHeight="1" x14ac:dyDescent="0.4">
      <c r="A140" s="737" t="s">
        <v>482</v>
      </c>
      <c r="B140" s="737"/>
      <c r="C140" s="737"/>
      <c r="D140" s="737"/>
      <c r="E140" s="737"/>
      <c r="F140" s="298"/>
      <c r="G140" s="298"/>
      <c r="H140" s="298"/>
      <c r="AC140" s="725" t="str">
        <f>A140</f>
        <v>TAMPA PARA BOCA DE LOBO</v>
      </c>
      <c r="AD140" s="726"/>
    </row>
    <row r="141" spans="1:30" ht="50.1" customHeight="1" x14ac:dyDescent="0.2">
      <c r="A141" s="357" t="s">
        <v>7</v>
      </c>
      <c r="B141" s="357" t="s">
        <v>235</v>
      </c>
      <c r="C141" s="733" t="s">
        <v>238</v>
      </c>
      <c r="D141" s="733"/>
      <c r="E141" s="733"/>
      <c r="AC141" s="406" t="s">
        <v>541</v>
      </c>
      <c r="AD141" s="406" t="s">
        <v>23</v>
      </c>
    </row>
    <row r="142" spans="1:30" ht="50.1" customHeight="1" x14ac:dyDescent="0.2">
      <c r="A142" s="407">
        <f>DADOS!A9</f>
        <v>1</v>
      </c>
      <c r="B142" s="612" t="str">
        <f>DADOS!B9</f>
        <v>TV. BEIRA RIO</v>
      </c>
      <c r="C142" s="734">
        <f>C130</f>
        <v>0</v>
      </c>
      <c r="D142" s="735"/>
      <c r="E142" s="736"/>
      <c r="AC142" s="416">
        <f>'ORÇAMENTO GERAL'!$J$91</f>
        <v>238.8</v>
      </c>
      <c r="AD142" s="416">
        <f t="shared" ref="AD142:AD148" si="93">C142*AC142</f>
        <v>0</v>
      </c>
    </row>
    <row r="143" spans="1:30" ht="50.1" customHeight="1" x14ac:dyDescent="0.2">
      <c r="A143" s="407">
        <v>3</v>
      </c>
      <c r="B143" s="612" t="str">
        <f>DADOS!B10</f>
        <v>RUA MOCAJATUBA</v>
      </c>
      <c r="C143" s="734">
        <f t="shared" ref="C143" si="94">C131</f>
        <v>7</v>
      </c>
      <c r="D143" s="735"/>
      <c r="E143" s="736"/>
      <c r="AC143" s="416">
        <f>'ORÇAMENTO GERAL'!$J$91</f>
        <v>238.8</v>
      </c>
      <c r="AD143" s="416">
        <f t="shared" si="93"/>
        <v>1671.6</v>
      </c>
    </row>
    <row r="144" spans="1:30" ht="50.1" customHeight="1" x14ac:dyDescent="0.2">
      <c r="A144" s="407">
        <v>3</v>
      </c>
      <c r="B144" s="612">
        <f>DADOS!B11</f>
        <v>0</v>
      </c>
      <c r="C144" s="734">
        <f>C16</f>
        <v>0</v>
      </c>
      <c r="D144" s="735"/>
      <c r="E144" s="736"/>
      <c r="AC144" s="416">
        <f>'ORÇAMENTO GERAL'!$J$91</f>
        <v>238.8</v>
      </c>
      <c r="AD144" s="416">
        <f t="shared" si="93"/>
        <v>0</v>
      </c>
    </row>
    <row r="145" spans="1:30" ht="50.1" hidden="1" customHeight="1" x14ac:dyDescent="0.2">
      <c r="A145" s="407">
        <f>DADOS!A12</f>
        <v>4</v>
      </c>
      <c r="B145" s="612">
        <f>DADOS!B12</f>
        <v>0</v>
      </c>
      <c r="C145" s="734">
        <f t="shared" ref="C145:C149" si="95">C17</f>
        <v>0</v>
      </c>
      <c r="D145" s="735"/>
      <c r="E145" s="736"/>
      <c r="AC145" s="416">
        <f>'ORÇAMENTO GERAL'!$J$91</f>
        <v>238.8</v>
      </c>
      <c r="AD145" s="416">
        <f t="shared" si="93"/>
        <v>0</v>
      </c>
    </row>
    <row r="146" spans="1:30" ht="50.1" hidden="1" customHeight="1" x14ac:dyDescent="0.2">
      <c r="A146" s="407">
        <f>DADOS!A13</f>
        <v>5</v>
      </c>
      <c r="B146" s="612">
        <f>DADOS!B13</f>
        <v>0</v>
      </c>
      <c r="C146" s="734">
        <f t="shared" si="95"/>
        <v>0</v>
      </c>
      <c r="D146" s="735"/>
      <c r="E146" s="736"/>
      <c r="AC146" s="416">
        <f>'ORÇAMENTO GERAL'!$J$91</f>
        <v>238.8</v>
      </c>
      <c r="AD146" s="416">
        <f t="shared" si="93"/>
        <v>0</v>
      </c>
    </row>
    <row r="147" spans="1:30" ht="50.1" hidden="1" customHeight="1" x14ac:dyDescent="0.2">
      <c r="A147" s="407">
        <f>DADOS!A14</f>
        <v>6</v>
      </c>
      <c r="B147" s="612">
        <f>DADOS!B14</f>
        <v>0</v>
      </c>
      <c r="C147" s="734">
        <f t="shared" si="95"/>
        <v>0</v>
      </c>
      <c r="D147" s="735"/>
      <c r="E147" s="736"/>
      <c r="AC147" s="416">
        <f>'ORÇAMENTO GERAL'!$J$91</f>
        <v>238.8</v>
      </c>
      <c r="AD147" s="416">
        <f t="shared" si="93"/>
        <v>0</v>
      </c>
    </row>
    <row r="148" spans="1:30" ht="50.1" hidden="1" customHeight="1" x14ac:dyDescent="0.2">
      <c r="A148" s="407">
        <f>DADOS!A15</f>
        <v>7</v>
      </c>
      <c r="B148" s="612">
        <f>DADOS!B15</f>
        <v>0</v>
      </c>
      <c r="C148" s="734">
        <f t="shared" si="95"/>
        <v>0</v>
      </c>
      <c r="D148" s="735"/>
      <c r="E148" s="736"/>
      <c r="AC148" s="416">
        <f>'ORÇAMENTO GERAL'!$J$91</f>
        <v>238.8</v>
      </c>
      <c r="AD148" s="416">
        <f t="shared" si="93"/>
        <v>0</v>
      </c>
    </row>
    <row r="149" spans="1:30" ht="50.1" hidden="1" customHeight="1" x14ac:dyDescent="0.2">
      <c r="A149" s="407">
        <f>DADOS!A16</f>
        <v>8</v>
      </c>
      <c r="B149" s="612">
        <f>DADOS!B16</f>
        <v>0</v>
      </c>
      <c r="C149" s="734">
        <f t="shared" si="95"/>
        <v>0</v>
      </c>
      <c r="D149" s="735"/>
      <c r="E149" s="736"/>
      <c r="AC149" s="416">
        <f>'ORÇAMENTO GERAL'!$J$91</f>
        <v>238.8</v>
      </c>
      <c r="AD149" s="416">
        <f>C149*AC149</f>
        <v>0</v>
      </c>
    </row>
    <row r="150" spans="1:30" ht="50.1" customHeight="1" x14ac:dyDescent="0.2">
      <c r="A150" s="731" t="s">
        <v>23</v>
      </c>
      <c r="B150" s="731"/>
      <c r="C150" s="732">
        <f>SUM(C142:E149)</f>
        <v>7</v>
      </c>
      <c r="D150" s="732"/>
      <c r="E150" s="732"/>
    </row>
    <row r="151" spans="1:30" ht="50.1" customHeight="1" x14ac:dyDescent="0.2">
      <c r="A151" s="300"/>
      <c r="B151" s="300"/>
      <c r="C151" s="300"/>
      <c r="D151" s="300"/>
    </row>
    <row r="152" spans="1:30" s="280" customFormat="1" ht="45" customHeight="1" x14ac:dyDescent="0.4">
      <c r="A152" s="737" t="s">
        <v>393</v>
      </c>
      <c r="B152" s="737"/>
      <c r="C152" s="737"/>
      <c r="D152" s="737"/>
      <c r="E152" s="737"/>
      <c r="F152" s="298"/>
      <c r="G152" s="298"/>
      <c r="H152" s="298"/>
      <c r="AC152" s="725" t="str">
        <f>A152</f>
        <v>POÇOS DE VISITA</v>
      </c>
      <c r="AD152" s="726"/>
    </row>
    <row r="153" spans="1:30" ht="50.1" customHeight="1" x14ac:dyDescent="0.2">
      <c r="A153" s="274" t="s">
        <v>7</v>
      </c>
      <c r="B153" s="274" t="s">
        <v>235</v>
      </c>
      <c r="C153" s="733" t="s">
        <v>238</v>
      </c>
      <c r="D153" s="733"/>
      <c r="E153" s="733"/>
      <c r="AC153" s="406" t="s">
        <v>541</v>
      </c>
      <c r="AD153" s="406" t="s">
        <v>23</v>
      </c>
    </row>
    <row r="154" spans="1:30" ht="50.1" customHeight="1" x14ac:dyDescent="0.2">
      <c r="A154" s="407">
        <f>A142</f>
        <v>1</v>
      </c>
      <c r="B154" s="612" t="str">
        <f>B142</f>
        <v>TV. BEIRA RIO</v>
      </c>
      <c r="C154" s="734">
        <v>0</v>
      </c>
      <c r="D154" s="735"/>
      <c r="E154" s="736"/>
      <c r="AC154" s="416">
        <f>'ORÇAMENTO GERAL'!$J$93</f>
        <v>6743.68</v>
      </c>
      <c r="AD154" s="416">
        <f t="shared" ref="AD154:AD160" si="96">C154*AC154</f>
        <v>0</v>
      </c>
    </row>
    <row r="155" spans="1:30" ht="50.1" customHeight="1" x14ac:dyDescent="0.2">
      <c r="A155" s="407">
        <f t="shared" ref="A155:B161" si="97">A143</f>
        <v>3</v>
      </c>
      <c r="B155" s="612" t="str">
        <f t="shared" si="97"/>
        <v>RUA MOCAJATUBA</v>
      </c>
      <c r="C155" s="734">
        <v>3</v>
      </c>
      <c r="D155" s="735"/>
      <c r="E155" s="736"/>
      <c r="AC155" s="416">
        <f>'ORÇAMENTO GERAL'!$J$93</f>
        <v>6743.68</v>
      </c>
      <c r="AD155" s="416">
        <f t="shared" si="96"/>
        <v>20231.04</v>
      </c>
    </row>
    <row r="156" spans="1:30" ht="50.1" hidden="1" customHeight="1" x14ac:dyDescent="0.2">
      <c r="A156" s="407">
        <v>3</v>
      </c>
      <c r="B156" s="612">
        <f t="shared" si="97"/>
        <v>0</v>
      </c>
      <c r="C156" s="734">
        <v>0</v>
      </c>
      <c r="D156" s="735"/>
      <c r="E156" s="736"/>
      <c r="AC156" s="416">
        <f>'ORÇAMENTO GERAL'!$J$93</f>
        <v>6743.68</v>
      </c>
      <c r="AD156" s="416">
        <f t="shared" si="96"/>
        <v>0</v>
      </c>
    </row>
    <row r="157" spans="1:30" ht="50.1" hidden="1" customHeight="1" x14ac:dyDescent="0.2">
      <c r="A157" s="407">
        <v>5</v>
      </c>
      <c r="B157" s="612">
        <f t="shared" si="97"/>
        <v>0</v>
      </c>
      <c r="C157" s="734">
        <v>0</v>
      </c>
      <c r="D157" s="735"/>
      <c r="E157" s="736"/>
      <c r="AC157" s="416">
        <f>'ORÇAMENTO GERAL'!$J$93</f>
        <v>6743.68</v>
      </c>
      <c r="AD157" s="416">
        <f t="shared" si="96"/>
        <v>0</v>
      </c>
    </row>
    <row r="158" spans="1:30" ht="50.1" hidden="1" customHeight="1" x14ac:dyDescent="0.2">
      <c r="A158" s="407">
        <f t="shared" si="97"/>
        <v>5</v>
      </c>
      <c r="B158" s="612">
        <f t="shared" si="97"/>
        <v>0</v>
      </c>
      <c r="C158" s="734"/>
      <c r="D158" s="735"/>
      <c r="E158" s="736"/>
      <c r="AC158" s="416">
        <f>'ORÇAMENTO GERAL'!$J$93</f>
        <v>6743.68</v>
      </c>
      <c r="AD158" s="416">
        <f t="shared" si="96"/>
        <v>0</v>
      </c>
    </row>
    <row r="159" spans="1:30" ht="50.1" hidden="1" customHeight="1" x14ac:dyDescent="0.2">
      <c r="A159" s="407">
        <f t="shared" si="97"/>
        <v>6</v>
      </c>
      <c r="B159" s="612">
        <f t="shared" si="97"/>
        <v>0</v>
      </c>
      <c r="C159" s="734">
        <v>0</v>
      </c>
      <c r="D159" s="735"/>
      <c r="E159" s="736"/>
      <c r="AC159" s="416">
        <f>'ORÇAMENTO GERAL'!$J$93</f>
        <v>6743.68</v>
      </c>
      <c r="AD159" s="416">
        <f t="shared" si="96"/>
        <v>0</v>
      </c>
    </row>
    <row r="160" spans="1:30" ht="50.1" hidden="1" customHeight="1" x14ac:dyDescent="0.2">
      <c r="A160" s="407">
        <f t="shared" si="97"/>
        <v>7</v>
      </c>
      <c r="B160" s="612">
        <f t="shared" si="97"/>
        <v>0</v>
      </c>
      <c r="C160" s="734">
        <v>0</v>
      </c>
      <c r="D160" s="735"/>
      <c r="E160" s="736"/>
      <c r="AC160" s="416">
        <f>'ORÇAMENTO GERAL'!$J$93</f>
        <v>6743.68</v>
      </c>
      <c r="AD160" s="416">
        <f t="shared" si="96"/>
        <v>0</v>
      </c>
    </row>
    <row r="161" spans="1:30" ht="50.1" hidden="1" customHeight="1" x14ac:dyDescent="0.2">
      <c r="A161" s="407">
        <f t="shared" si="97"/>
        <v>8</v>
      </c>
      <c r="B161" s="612">
        <f t="shared" si="97"/>
        <v>0</v>
      </c>
      <c r="C161" s="734">
        <v>0</v>
      </c>
      <c r="D161" s="735"/>
      <c r="E161" s="736"/>
      <c r="AC161" s="416">
        <f>'ORÇAMENTO GERAL'!$J$93</f>
        <v>6743.68</v>
      </c>
      <c r="AD161" s="416">
        <f>C161*AC161</f>
        <v>0</v>
      </c>
    </row>
    <row r="162" spans="1:30" ht="50.1" customHeight="1" x14ac:dyDescent="0.2">
      <c r="A162" s="731" t="s">
        <v>23</v>
      </c>
      <c r="B162" s="731"/>
      <c r="C162" s="732">
        <f>SUM(C154:E161)</f>
        <v>3</v>
      </c>
      <c r="D162" s="732"/>
      <c r="E162" s="732"/>
    </row>
    <row r="163" spans="1:30" ht="50.1" customHeight="1" x14ac:dyDescent="0.2"/>
    <row r="164" spans="1:30" s="280" customFormat="1" ht="45" customHeight="1" x14ac:dyDescent="0.4">
      <c r="A164" s="737" t="s">
        <v>483</v>
      </c>
      <c r="B164" s="737"/>
      <c r="C164" s="737"/>
      <c r="D164" s="737"/>
      <c r="E164" s="737"/>
      <c r="F164" s="298"/>
      <c r="G164" s="298"/>
      <c r="H164" s="298"/>
      <c r="AC164" s="725" t="str">
        <f>A164</f>
        <v>TAMPA PARA POÇOS DE VISITA</v>
      </c>
      <c r="AD164" s="726"/>
    </row>
    <row r="165" spans="1:30" ht="50.1" customHeight="1" x14ac:dyDescent="0.2">
      <c r="A165" s="357" t="s">
        <v>7</v>
      </c>
      <c r="B165" s="357" t="s">
        <v>235</v>
      </c>
      <c r="C165" s="733" t="s">
        <v>238</v>
      </c>
      <c r="D165" s="733"/>
      <c r="E165" s="733"/>
      <c r="AC165" s="406" t="s">
        <v>541</v>
      </c>
      <c r="AD165" s="406" t="s">
        <v>23</v>
      </c>
    </row>
    <row r="166" spans="1:30" ht="50.1" customHeight="1" x14ac:dyDescent="0.2">
      <c r="A166" s="407">
        <f>A154</f>
        <v>1</v>
      </c>
      <c r="B166" s="612" t="str">
        <f>B154</f>
        <v>TV. BEIRA RIO</v>
      </c>
      <c r="C166" s="734">
        <f>C154</f>
        <v>0</v>
      </c>
      <c r="D166" s="735"/>
      <c r="E166" s="736"/>
      <c r="AC166" s="416">
        <f>'ORÇAMENTO GERAL'!$J$95</f>
        <v>126.8</v>
      </c>
      <c r="AD166" s="416">
        <f t="shared" ref="AD166:AD172" si="98">C166*AC166</f>
        <v>0</v>
      </c>
    </row>
    <row r="167" spans="1:30" ht="50.1" customHeight="1" x14ac:dyDescent="0.2">
      <c r="A167" s="407">
        <f t="shared" ref="A167:C173" si="99">A155</f>
        <v>3</v>
      </c>
      <c r="B167" s="612" t="str">
        <f t="shared" si="99"/>
        <v>RUA MOCAJATUBA</v>
      </c>
      <c r="C167" s="734">
        <f t="shared" si="99"/>
        <v>3</v>
      </c>
      <c r="D167" s="735"/>
      <c r="E167" s="736"/>
      <c r="AC167" s="416">
        <f>'ORÇAMENTO GERAL'!$J$95</f>
        <v>126.8</v>
      </c>
      <c r="AD167" s="416">
        <f t="shared" si="98"/>
        <v>380.4</v>
      </c>
    </row>
    <row r="168" spans="1:30" ht="50.1" hidden="1" customHeight="1" x14ac:dyDescent="0.2">
      <c r="A168" s="407">
        <f t="shared" si="99"/>
        <v>3</v>
      </c>
      <c r="B168" s="612">
        <f t="shared" si="99"/>
        <v>0</v>
      </c>
      <c r="C168" s="734">
        <v>0</v>
      </c>
      <c r="D168" s="735"/>
      <c r="E168" s="736"/>
      <c r="AC168" s="416">
        <f>'ORÇAMENTO GERAL'!$J$95</f>
        <v>126.8</v>
      </c>
      <c r="AD168" s="416">
        <f t="shared" si="98"/>
        <v>0</v>
      </c>
    </row>
    <row r="169" spans="1:30" ht="50.1" hidden="1" customHeight="1" x14ac:dyDescent="0.2">
      <c r="A169" s="407">
        <f t="shared" si="99"/>
        <v>5</v>
      </c>
      <c r="B169" s="612">
        <f t="shared" si="99"/>
        <v>0</v>
      </c>
      <c r="C169" s="734">
        <f t="shared" si="99"/>
        <v>0</v>
      </c>
      <c r="D169" s="735"/>
      <c r="E169" s="736"/>
      <c r="AC169" s="416">
        <f>'ORÇAMENTO GERAL'!$J$95</f>
        <v>126.8</v>
      </c>
      <c r="AD169" s="416">
        <f t="shared" si="98"/>
        <v>0</v>
      </c>
    </row>
    <row r="170" spans="1:30" ht="50.1" hidden="1" customHeight="1" x14ac:dyDescent="0.2">
      <c r="A170" s="407">
        <f t="shared" si="99"/>
        <v>5</v>
      </c>
      <c r="B170" s="612">
        <f t="shared" si="99"/>
        <v>0</v>
      </c>
      <c r="C170" s="734"/>
      <c r="D170" s="735"/>
      <c r="E170" s="736"/>
      <c r="AC170" s="416">
        <f>'ORÇAMENTO GERAL'!$J$95</f>
        <v>126.8</v>
      </c>
      <c r="AD170" s="416">
        <f t="shared" si="98"/>
        <v>0</v>
      </c>
    </row>
    <row r="171" spans="1:30" ht="50.1" hidden="1" customHeight="1" x14ac:dyDescent="0.2">
      <c r="A171" s="407">
        <f t="shared" si="99"/>
        <v>6</v>
      </c>
      <c r="B171" s="612">
        <f t="shared" si="99"/>
        <v>0</v>
      </c>
      <c r="C171" s="734">
        <f t="shared" si="99"/>
        <v>0</v>
      </c>
      <c r="D171" s="735"/>
      <c r="E171" s="736"/>
      <c r="AC171" s="416">
        <f>'ORÇAMENTO GERAL'!$J$95</f>
        <v>126.8</v>
      </c>
      <c r="AD171" s="416">
        <f t="shared" si="98"/>
        <v>0</v>
      </c>
    </row>
    <row r="172" spans="1:30" ht="50.1" hidden="1" customHeight="1" x14ac:dyDescent="0.2">
      <c r="A172" s="407">
        <f t="shared" si="99"/>
        <v>7</v>
      </c>
      <c r="B172" s="612">
        <f t="shared" si="99"/>
        <v>0</v>
      </c>
      <c r="C172" s="734">
        <f t="shared" si="99"/>
        <v>0</v>
      </c>
      <c r="D172" s="735"/>
      <c r="E172" s="736"/>
      <c r="AC172" s="416">
        <f>'ORÇAMENTO GERAL'!$J$95</f>
        <v>126.8</v>
      </c>
      <c r="AD172" s="416">
        <f t="shared" si="98"/>
        <v>0</v>
      </c>
    </row>
    <row r="173" spans="1:30" ht="50.1" hidden="1" customHeight="1" x14ac:dyDescent="0.2">
      <c r="A173" s="407">
        <f t="shared" si="99"/>
        <v>8</v>
      </c>
      <c r="B173" s="612">
        <f t="shared" si="99"/>
        <v>0</v>
      </c>
      <c r="C173" s="734">
        <f t="shared" si="99"/>
        <v>0</v>
      </c>
      <c r="D173" s="735"/>
      <c r="E173" s="736"/>
      <c r="AC173" s="416">
        <f>'ORÇAMENTO GERAL'!$J$95</f>
        <v>126.8</v>
      </c>
      <c r="AD173" s="416">
        <f>C173*AC173</f>
        <v>0</v>
      </c>
    </row>
    <row r="174" spans="1:30" ht="50.1" customHeight="1" x14ac:dyDescent="0.2">
      <c r="A174" s="731" t="s">
        <v>23</v>
      </c>
      <c r="B174" s="731"/>
      <c r="C174" s="732">
        <f>SUM(C166:E173)</f>
        <v>3</v>
      </c>
      <c r="D174" s="732"/>
      <c r="E174" s="732"/>
    </row>
    <row r="175" spans="1:30" ht="50.1" customHeight="1" x14ac:dyDescent="0.2"/>
    <row r="176" spans="1:30" s="280" customFormat="1" ht="45" hidden="1" customHeight="1" x14ac:dyDescent="0.4">
      <c r="A176" s="737" t="s">
        <v>529</v>
      </c>
      <c r="B176" s="737"/>
      <c r="C176" s="737"/>
      <c r="D176" s="737"/>
      <c r="E176" s="737"/>
      <c r="F176" s="298"/>
      <c r="G176" s="298"/>
      <c r="H176" s="298"/>
      <c r="AC176" s="725" t="str">
        <f>A176</f>
        <v>ALA DE LANÇAMENTO</v>
      </c>
      <c r="AD176" s="726"/>
    </row>
    <row r="177" spans="1:30" ht="50.1" hidden="1" customHeight="1" x14ac:dyDescent="0.2">
      <c r="A177" s="407" t="s">
        <v>7</v>
      </c>
      <c r="B177" s="407" t="s">
        <v>235</v>
      </c>
      <c r="C177" s="733" t="s">
        <v>238</v>
      </c>
      <c r="D177" s="733"/>
      <c r="E177" s="733"/>
      <c r="AC177" s="406" t="s">
        <v>541</v>
      </c>
      <c r="AD177" s="406" t="s">
        <v>23</v>
      </c>
    </row>
    <row r="178" spans="1:30" ht="50.1" hidden="1" customHeight="1" x14ac:dyDescent="0.2">
      <c r="A178" s="407">
        <f>A166</f>
        <v>1</v>
      </c>
      <c r="B178" s="612" t="str">
        <f>B166</f>
        <v>TV. BEIRA RIO</v>
      </c>
      <c r="C178" s="734">
        <v>0</v>
      </c>
      <c r="D178" s="735"/>
      <c r="E178" s="736"/>
      <c r="AC178" s="416">
        <f>'ORÇAMENTO GERAL'!$J$97</f>
        <v>6743.68</v>
      </c>
      <c r="AD178" s="416">
        <f t="shared" ref="AD178:AD184" si="100">C178*AC178</f>
        <v>0</v>
      </c>
    </row>
    <row r="179" spans="1:30" ht="50.1" hidden="1" customHeight="1" x14ac:dyDescent="0.2">
      <c r="A179" s="407">
        <f t="shared" ref="A179:B185" si="101">A167</f>
        <v>3</v>
      </c>
      <c r="B179" s="612" t="str">
        <f t="shared" si="101"/>
        <v>RUA MOCAJATUBA</v>
      </c>
      <c r="C179" s="734"/>
      <c r="D179" s="735"/>
      <c r="E179" s="736"/>
      <c r="AC179" s="416">
        <f>'ORÇAMENTO GERAL'!$J$97</f>
        <v>6743.68</v>
      </c>
      <c r="AD179" s="416">
        <f t="shared" si="100"/>
        <v>0</v>
      </c>
    </row>
    <row r="180" spans="1:30" ht="50.1" hidden="1" customHeight="1" x14ac:dyDescent="0.2">
      <c r="A180" s="407">
        <f t="shared" si="101"/>
        <v>3</v>
      </c>
      <c r="B180" s="612">
        <f t="shared" si="101"/>
        <v>0</v>
      </c>
      <c r="C180" s="734"/>
      <c r="D180" s="735"/>
      <c r="E180" s="736"/>
      <c r="AC180" s="416">
        <f>'ORÇAMENTO GERAL'!$J$97</f>
        <v>6743.68</v>
      </c>
      <c r="AD180" s="416">
        <f t="shared" si="100"/>
        <v>0</v>
      </c>
    </row>
    <row r="181" spans="1:30" ht="50.1" hidden="1" customHeight="1" x14ac:dyDescent="0.2">
      <c r="A181" s="407">
        <f t="shared" si="101"/>
        <v>5</v>
      </c>
      <c r="B181" s="612">
        <f t="shared" si="101"/>
        <v>0</v>
      </c>
      <c r="C181" s="734">
        <v>0</v>
      </c>
      <c r="D181" s="735"/>
      <c r="E181" s="736"/>
      <c r="AC181" s="416">
        <f>'ORÇAMENTO GERAL'!$J$97</f>
        <v>6743.68</v>
      </c>
      <c r="AD181" s="416">
        <f t="shared" si="100"/>
        <v>0</v>
      </c>
    </row>
    <row r="182" spans="1:30" ht="50.1" hidden="1" customHeight="1" x14ac:dyDescent="0.2">
      <c r="A182" s="407">
        <f t="shared" si="101"/>
        <v>5</v>
      </c>
      <c r="B182" s="612">
        <f t="shared" si="101"/>
        <v>0</v>
      </c>
      <c r="C182" s="734"/>
      <c r="D182" s="735"/>
      <c r="E182" s="736"/>
      <c r="AC182" s="416">
        <f>'ORÇAMENTO GERAL'!$J$97</f>
        <v>6743.68</v>
      </c>
      <c r="AD182" s="416">
        <f t="shared" si="100"/>
        <v>0</v>
      </c>
    </row>
    <row r="183" spans="1:30" ht="50.1" hidden="1" customHeight="1" x14ac:dyDescent="0.2">
      <c r="A183" s="407">
        <f t="shared" si="101"/>
        <v>6</v>
      </c>
      <c r="B183" s="612">
        <f t="shared" si="101"/>
        <v>0</v>
      </c>
      <c r="C183" s="734">
        <v>0</v>
      </c>
      <c r="D183" s="735"/>
      <c r="E183" s="736"/>
      <c r="AC183" s="416">
        <f>'ORÇAMENTO GERAL'!$J$97</f>
        <v>6743.68</v>
      </c>
      <c r="AD183" s="416">
        <f t="shared" si="100"/>
        <v>0</v>
      </c>
    </row>
    <row r="184" spans="1:30" ht="50.1" hidden="1" customHeight="1" x14ac:dyDescent="0.2">
      <c r="A184" s="407">
        <f t="shared" si="101"/>
        <v>7</v>
      </c>
      <c r="B184" s="612">
        <f t="shared" si="101"/>
        <v>0</v>
      </c>
      <c r="C184" s="734">
        <v>0</v>
      </c>
      <c r="D184" s="735"/>
      <c r="E184" s="736"/>
      <c r="AC184" s="416">
        <f>'ORÇAMENTO GERAL'!$J$97</f>
        <v>6743.68</v>
      </c>
      <c r="AD184" s="416">
        <f t="shared" si="100"/>
        <v>0</v>
      </c>
    </row>
    <row r="185" spans="1:30" ht="50.1" hidden="1" customHeight="1" x14ac:dyDescent="0.2">
      <c r="A185" s="407">
        <f t="shared" si="101"/>
        <v>8</v>
      </c>
      <c r="B185" s="612">
        <f t="shared" si="101"/>
        <v>0</v>
      </c>
      <c r="C185" s="734">
        <v>0</v>
      </c>
      <c r="D185" s="735"/>
      <c r="E185" s="736"/>
      <c r="AC185" s="416">
        <f>'ORÇAMENTO GERAL'!$J$97</f>
        <v>6743.68</v>
      </c>
      <c r="AD185" s="416">
        <f>C185*AC185</f>
        <v>0</v>
      </c>
    </row>
    <row r="186" spans="1:30" ht="50.1" hidden="1" customHeight="1" x14ac:dyDescent="0.2">
      <c r="A186" s="731" t="s">
        <v>23</v>
      </c>
      <c r="B186" s="731"/>
      <c r="C186" s="732">
        <f>SUM(C179:E182)</f>
        <v>0</v>
      </c>
      <c r="D186" s="732"/>
      <c r="E186" s="732"/>
    </row>
    <row r="187" spans="1:30" ht="50.1" hidden="1" customHeight="1" x14ac:dyDescent="0.2"/>
    <row r="188" spans="1:30" ht="50.1" customHeight="1" x14ac:dyDescent="0.2"/>
    <row r="189" spans="1:30" ht="50.1" customHeight="1" x14ac:dyDescent="0.2"/>
    <row r="190" spans="1:30" ht="50.1" customHeight="1" x14ac:dyDescent="0.2"/>
    <row r="191" spans="1:30" ht="50.1" customHeight="1" x14ac:dyDescent="0.2"/>
    <row r="192" spans="1:30" ht="50.1" customHeight="1" x14ac:dyDescent="0.2"/>
    <row r="193" ht="50.1" customHeight="1" x14ac:dyDescent="0.2"/>
    <row r="194" ht="50.1" customHeight="1" x14ac:dyDescent="0.2"/>
  </sheetData>
  <mergeCells count="166">
    <mergeCell ref="C178:E178"/>
    <mergeCell ref="C179:E179"/>
    <mergeCell ref="C180:E180"/>
    <mergeCell ref="C181:E181"/>
    <mergeCell ref="C182:E182"/>
    <mergeCell ref="C183:E183"/>
    <mergeCell ref="C184:E184"/>
    <mergeCell ref="C158:E158"/>
    <mergeCell ref="C159:E159"/>
    <mergeCell ref="C160:E160"/>
    <mergeCell ref="C172:E172"/>
    <mergeCell ref="C166:E166"/>
    <mergeCell ref="C167:E167"/>
    <mergeCell ref="C168:E168"/>
    <mergeCell ref="C169:E169"/>
    <mergeCell ref="C170:E170"/>
    <mergeCell ref="C171:E171"/>
    <mergeCell ref="C144:E144"/>
    <mergeCell ref="C145:E145"/>
    <mergeCell ref="C146:E146"/>
    <mergeCell ref="C147:E147"/>
    <mergeCell ref="C148:E148"/>
    <mergeCell ref="C154:E154"/>
    <mergeCell ref="C155:E155"/>
    <mergeCell ref="C156:E156"/>
    <mergeCell ref="C157:E157"/>
    <mergeCell ref="A174:B174"/>
    <mergeCell ref="C174:E174"/>
    <mergeCell ref="A126:B126"/>
    <mergeCell ref="A140:E140"/>
    <mergeCell ref="A128:E128"/>
    <mergeCell ref="C137:E137"/>
    <mergeCell ref="C129:E129"/>
    <mergeCell ref="C173:E173"/>
    <mergeCell ref="A150:B150"/>
    <mergeCell ref="C150:E150"/>
    <mergeCell ref="A164:E164"/>
    <mergeCell ref="C165:E165"/>
    <mergeCell ref="C161:E161"/>
    <mergeCell ref="A162:B162"/>
    <mergeCell ref="C162:E162"/>
    <mergeCell ref="C130:E130"/>
    <mergeCell ref="C131:E131"/>
    <mergeCell ref="C132:E132"/>
    <mergeCell ref="C133:E133"/>
    <mergeCell ref="C134:E134"/>
    <mergeCell ref="C135:E135"/>
    <mergeCell ref="C136:E136"/>
    <mergeCell ref="C142:E142"/>
    <mergeCell ref="C143:E143"/>
    <mergeCell ref="F73:I74"/>
    <mergeCell ref="L73:L75"/>
    <mergeCell ref="P73:P74"/>
    <mergeCell ref="N73:N75"/>
    <mergeCell ref="M73:M75"/>
    <mergeCell ref="J73:J75"/>
    <mergeCell ref="A100:R100"/>
    <mergeCell ref="A101:A105"/>
    <mergeCell ref="B101:B105"/>
    <mergeCell ref="C101:E102"/>
    <mergeCell ref="F101:I102"/>
    <mergeCell ref="L101:L103"/>
    <mergeCell ref="Q101:Q103"/>
    <mergeCell ref="R101:R103"/>
    <mergeCell ref="K101:K103"/>
    <mergeCell ref="J101:J103"/>
    <mergeCell ref="A2:R2"/>
    <mergeCell ref="A3:R3"/>
    <mergeCell ref="A4:R4"/>
    <mergeCell ref="A6:R6"/>
    <mergeCell ref="A8:R8"/>
    <mergeCell ref="Q57:Q59"/>
    <mergeCell ref="J9:J11"/>
    <mergeCell ref="A7:R7"/>
    <mergeCell ref="A9:A13"/>
    <mergeCell ref="R41:R43"/>
    <mergeCell ref="B9:B13"/>
    <mergeCell ref="C9:E10"/>
    <mergeCell ref="F9:I10"/>
    <mergeCell ref="Q9:Q11"/>
    <mergeCell ref="R9:R11"/>
    <mergeCell ref="K9:K11"/>
    <mergeCell ref="L9:L11"/>
    <mergeCell ref="M9:M11"/>
    <mergeCell ref="B41:B45"/>
    <mergeCell ref="A40:R40"/>
    <mergeCell ref="J41:J43"/>
    <mergeCell ref="F41:I42"/>
    <mergeCell ref="C41:E42"/>
    <mergeCell ref="Q25:Q27"/>
    <mergeCell ref="R57:R59"/>
    <mergeCell ref="A38:B38"/>
    <mergeCell ref="L41:L43"/>
    <mergeCell ref="M25:M27"/>
    <mergeCell ref="M57:M59"/>
    <mergeCell ref="A56:R56"/>
    <mergeCell ref="J57:J59"/>
    <mergeCell ref="L25:L27"/>
    <mergeCell ref="O41:O42"/>
    <mergeCell ref="P41:P42"/>
    <mergeCell ref="A54:B54"/>
    <mergeCell ref="K41:K43"/>
    <mergeCell ref="Q41:Q43"/>
    <mergeCell ref="C25:E26"/>
    <mergeCell ref="J25:J27"/>
    <mergeCell ref="M41:M43"/>
    <mergeCell ref="F25:I26"/>
    <mergeCell ref="K25:K27"/>
    <mergeCell ref="A186:B186"/>
    <mergeCell ref="C186:E186"/>
    <mergeCell ref="AC176:AD176"/>
    <mergeCell ref="A72:R72"/>
    <mergeCell ref="P25:P26"/>
    <mergeCell ref="A73:A77"/>
    <mergeCell ref="N41:N43"/>
    <mergeCell ref="C177:E177"/>
    <mergeCell ref="C185:E185"/>
    <mergeCell ref="N57:N59"/>
    <mergeCell ref="O57:O58"/>
    <mergeCell ref="P57:P58"/>
    <mergeCell ref="A176:E176"/>
    <mergeCell ref="C141:E141"/>
    <mergeCell ref="C149:E149"/>
    <mergeCell ref="C153:E153"/>
    <mergeCell ref="A152:E152"/>
    <mergeCell ref="A138:B138"/>
    <mergeCell ref="C138:E138"/>
    <mergeCell ref="C57:E58"/>
    <mergeCell ref="K57:K59"/>
    <mergeCell ref="A41:A45"/>
    <mergeCell ref="R25:R27"/>
    <mergeCell ref="A25:A29"/>
    <mergeCell ref="AC140:AD140"/>
    <mergeCell ref="AC152:AD152"/>
    <mergeCell ref="T12:AD12"/>
    <mergeCell ref="T28:AD28"/>
    <mergeCell ref="T44:AD44"/>
    <mergeCell ref="AC164:AD164"/>
    <mergeCell ref="T60:AD60"/>
    <mergeCell ref="T76:AD76"/>
    <mergeCell ref="T104:AD104"/>
    <mergeCell ref="AC128:AD128"/>
    <mergeCell ref="N9:N11"/>
    <mergeCell ref="O9:O10"/>
    <mergeCell ref="P9:P10"/>
    <mergeCell ref="N25:N27"/>
    <mergeCell ref="O25:O26"/>
    <mergeCell ref="O73:O74"/>
    <mergeCell ref="A57:A61"/>
    <mergeCell ref="B57:B61"/>
    <mergeCell ref="N101:N103"/>
    <mergeCell ref="O101:O102"/>
    <mergeCell ref="P101:P102"/>
    <mergeCell ref="M101:M103"/>
    <mergeCell ref="F57:I58"/>
    <mergeCell ref="L57:L59"/>
    <mergeCell ref="A70:B70"/>
    <mergeCell ref="B25:B29"/>
    <mergeCell ref="A22:B22"/>
    <mergeCell ref="A24:R24"/>
    <mergeCell ref="K73:K75"/>
    <mergeCell ref="Q73:Q75"/>
    <mergeCell ref="R73:R75"/>
    <mergeCell ref="A98:B98"/>
    <mergeCell ref="B73:B77"/>
    <mergeCell ref="C73:E74"/>
  </mergeCells>
  <conditionalFormatting sqref="A22 S54 S70 N98:S98 N126:S126 S30:S38 R14:S21 L14:L21 N14:O21 B14:I21 B46:R53 C22:S22">
    <cfRule type="cellIs" dxfId="149" priority="592" stopIfTrue="1" operator="equal">
      <formula>0</formula>
    </cfRule>
  </conditionalFormatting>
  <conditionalFormatting sqref="A22 S54 S70 N98:S98 N126:S126 S30:S38 R14:S21 L14:L21 N14:O21 B14:I21 B46:R53 C22:S22">
    <cfRule type="cellIs" dxfId="148" priority="591" operator="equal">
      <formula>0</formula>
    </cfRule>
  </conditionalFormatting>
  <conditionalFormatting sqref="A14:A21 A46:A53">
    <cfRule type="cellIs" dxfId="147" priority="589" operator="equal">
      <formula>0</formula>
    </cfRule>
    <cfRule type="cellIs" dxfId="146" priority="590" operator="equal">
      <formula>0</formula>
    </cfRule>
  </conditionalFormatting>
  <conditionalFormatting sqref="F30:H37 C38:R38">
    <cfRule type="cellIs" dxfId="145" priority="558" stopIfTrue="1" operator="equal">
      <formula>0</formula>
    </cfRule>
  </conditionalFormatting>
  <conditionalFormatting sqref="F30:H37 C38:R38">
    <cfRule type="cellIs" dxfId="144" priority="557" operator="equal">
      <formula>0</formula>
    </cfRule>
  </conditionalFormatting>
  <conditionalFormatting sqref="S46:S53 C54:R54">
    <cfRule type="cellIs" dxfId="143" priority="536" stopIfTrue="1" operator="equal">
      <formula>0</formula>
    </cfRule>
  </conditionalFormatting>
  <conditionalFormatting sqref="S46:S53 C54:R54">
    <cfRule type="cellIs" dxfId="142" priority="535" operator="equal">
      <formula>0</formula>
    </cfRule>
  </conditionalFormatting>
  <conditionalFormatting sqref="S62:S69 F62:H69 C70:R70">
    <cfRule type="cellIs" dxfId="141" priority="514" stopIfTrue="1" operator="equal">
      <formula>0</formula>
    </cfRule>
  </conditionalFormatting>
  <conditionalFormatting sqref="S62:S69 F62:H69 C70:R70">
    <cfRule type="cellIs" dxfId="140" priority="513" operator="equal">
      <formula>0</formula>
    </cfRule>
  </conditionalFormatting>
  <conditionalFormatting sqref="A30:A37">
    <cfRule type="cellIs" dxfId="139" priority="467" operator="equal">
      <formula>0</formula>
    </cfRule>
    <cfRule type="cellIs" dxfId="138" priority="468" operator="equal">
      <formula>0</formula>
    </cfRule>
  </conditionalFormatting>
  <conditionalFormatting sqref="C62:C69 E62:E69">
    <cfRule type="cellIs" dxfId="137" priority="476" stopIfTrue="1" operator="equal">
      <formula>0</formula>
    </cfRule>
  </conditionalFormatting>
  <conditionalFormatting sqref="C62:C69 E62:E69">
    <cfRule type="cellIs" dxfId="136" priority="475" operator="equal">
      <formula>0</formula>
    </cfRule>
  </conditionalFormatting>
  <conditionalFormatting sqref="C30:E37">
    <cfRule type="cellIs" dxfId="135" priority="480" stopIfTrue="1" operator="equal">
      <formula>0</formula>
    </cfRule>
  </conditionalFormatting>
  <conditionalFormatting sqref="C30:E37">
    <cfRule type="cellIs" dxfId="134" priority="479" operator="equal">
      <formula>0</formula>
    </cfRule>
  </conditionalFormatting>
  <conditionalFormatting sqref="A38 B30:B37">
    <cfRule type="cellIs" dxfId="133" priority="470" stopIfTrue="1" operator="equal">
      <formula>0</formula>
    </cfRule>
  </conditionalFormatting>
  <conditionalFormatting sqref="A38 B30:B37">
    <cfRule type="cellIs" dxfId="132" priority="469" operator="equal">
      <formula>0</formula>
    </cfRule>
  </conditionalFormatting>
  <conditionalFormatting sqref="A54">
    <cfRule type="cellIs" dxfId="131" priority="462" stopIfTrue="1" operator="equal">
      <formula>0</formula>
    </cfRule>
  </conditionalFormatting>
  <conditionalFormatting sqref="A54">
    <cfRule type="cellIs" dxfId="130" priority="461" operator="equal">
      <formula>0</formula>
    </cfRule>
  </conditionalFormatting>
  <conditionalFormatting sqref="A70 B62:B69">
    <cfRule type="cellIs" dxfId="129" priority="454" stopIfTrue="1" operator="equal">
      <formula>0</formula>
    </cfRule>
  </conditionalFormatting>
  <conditionalFormatting sqref="A70 B62:B69">
    <cfRule type="cellIs" dxfId="128" priority="453" operator="equal">
      <formula>0</formula>
    </cfRule>
  </conditionalFormatting>
  <conditionalFormatting sqref="A62:A69">
    <cfRule type="cellIs" dxfId="127" priority="451" operator="equal">
      <formula>0</formula>
    </cfRule>
    <cfRule type="cellIs" dxfId="126" priority="452" operator="equal">
      <formula>0</formula>
    </cfRule>
  </conditionalFormatting>
  <conditionalFormatting sqref="C98:I98 L98 S78:S83 F78:H97">
    <cfRule type="cellIs" dxfId="125" priority="308" stopIfTrue="1" operator="equal">
      <formula>0</formula>
    </cfRule>
  </conditionalFormatting>
  <conditionalFormatting sqref="C98:I98 L98 S78:S83 F78:H97">
    <cfRule type="cellIs" dxfId="124" priority="307" operator="equal">
      <formula>0</formula>
    </cfRule>
  </conditionalFormatting>
  <conditionalFormatting sqref="C78:C97 E78:E97">
    <cfRule type="cellIs" dxfId="123" priority="304" stopIfTrue="1" operator="equal">
      <formula>0</formula>
    </cfRule>
  </conditionalFormatting>
  <conditionalFormatting sqref="C78:C97 E78:E97">
    <cfRule type="cellIs" dxfId="122" priority="303" operator="equal">
      <formula>0</formula>
    </cfRule>
  </conditionalFormatting>
  <conditionalFormatting sqref="A98 B78:B97">
    <cfRule type="cellIs" dxfId="121" priority="302" stopIfTrue="1" operator="equal">
      <formula>0</formula>
    </cfRule>
  </conditionalFormatting>
  <conditionalFormatting sqref="A98 B78:B97">
    <cfRule type="cellIs" dxfId="120" priority="301" operator="equal">
      <formula>0</formula>
    </cfRule>
  </conditionalFormatting>
  <conditionalFormatting sqref="A78:A97">
    <cfRule type="cellIs" dxfId="119" priority="299" operator="equal">
      <formula>0</formula>
    </cfRule>
    <cfRule type="cellIs" dxfId="118" priority="300" operator="equal">
      <formula>0</formula>
    </cfRule>
  </conditionalFormatting>
  <conditionalFormatting sqref="S84:S88">
    <cfRule type="cellIs" dxfId="117" priority="298" stopIfTrue="1" operator="equal">
      <formula>0</formula>
    </cfRule>
  </conditionalFormatting>
  <conditionalFormatting sqref="S84:S88">
    <cfRule type="cellIs" dxfId="116" priority="297" operator="equal">
      <formula>0</formula>
    </cfRule>
  </conditionalFormatting>
  <conditionalFormatting sqref="S94:S97">
    <cfRule type="cellIs" dxfId="115" priority="294" stopIfTrue="1" operator="equal">
      <formula>0</formula>
    </cfRule>
  </conditionalFormatting>
  <conditionalFormatting sqref="S94:S97">
    <cfRule type="cellIs" dxfId="114" priority="293" operator="equal">
      <formula>0</formula>
    </cfRule>
  </conditionalFormatting>
  <conditionalFormatting sqref="S89:S93">
    <cfRule type="cellIs" dxfId="113" priority="290" stopIfTrue="1" operator="equal">
      <formula>0</formula>
    </cfRule>
  </conditionalFormatting>
  <conditionalFormatting sqref="S89:S93">
    <cfRule type="cellIs" dxfId="112" priority="289" operator="equal">
      <formula>0</formula>
    </cfRule>
  </conditionalFormatting>
  <conditionalFormatting sqref="C126:I126 L126 S106:S111 F106:H125">
    <cfRule type="cellIs" dxfId="111" priority="284" stopIfTrue="1" operator="equal">
      <formula>0</formula>
    </cfRule>
  </conditionalFormatting>
  <conditionalFormatting sqref="C126:I126 L126 S106:S111 F106:H125">
    <cfRule type="cellIs" dxfId="110" priority="283" operator="equal">
      <formula>0</formula>
    </cfRule>
  </conditionalFormatting>
  <conditionalFormatting sqref="C106:C125 E106:E125">
    <cfRule type="cellIs" dxfId="109" priority="280" stopIfTrue="1" operator="equal">
      <formula>0</formula>
    </cfRule>
  </conditionalFormatting>
  <conditionalFormatting sqref="C106:C125 E106:E125">
    <cfRule type="cellIs" dxfId="108" priority="279" operator="equal">
      <formula>0</formula>
    </cfRule>
  </conditionalFormatting>
  <conditionalFormatting sqref="A126 B106:B125">
    <cfRule type="cellIs" dxfId="107" priority="278" stopIfTrue="1" operator="equal">
      <formula>0</formula>
    </cfRule>
  </conditionalFormatting>
  <conditionalFormatting sqref="A126 B106:B125">
    <cfRule type="cellIs" dxfId="106" priority="277" operator="equal">
      <formula>0</formula>
    </cfRule>
  </conditionalFormatting>
  <conditionalFormatting sqref="A106:A125">
    <cfRule type="cellIs" dxfId="105" priority="275" operator="equal">
      <formula>0</formula>
    </cfRule>
    <cfRule type="cellIs" dxfId="104" priority="276" operator="equal">
      <formula>0</formula>
    </cfRule>
  </conditionalFormatting>
  <conditionalFormatting sqref="S112:S116">
    <cfRule type="cellIs" dxfId="103" priority="274" stopIfTrue="1" operator="equal">
      <formula>0</formula>
    </cfRule>
  </conditionalFormatting>
  <conditionalFormatting sqref="S112:S116">
    <cfRule type="cellIs" dxfId="102" priority="273" operator="equal">
      <formula>0</formula>
    </cfRule>
  </conditionalFormatting>
  <conditionalFormatting sqref="S122:S125">
    <cfRule type="cellIs" dxfId="101" priority="270" stopIfTrue="1" operator="equal">
      <formula>0</formula>
    </cfRule>
  </conditionalFormatting>
  <conditionalFormatting sqref="S122:S125">
    <cfRule type="cellIs" dxfId="100" priority="269" operator="equal">
      <formula>0</formula>
    </cfRule>
  </conditionalFormatting>
  <conditionalFormatting sqref="S117:S121">
    <cfRule type="cellIs" dxfId="99" priority="266" stopIfTrue="1" operator="equal">
      <formula>0</formula>
    </cfRule>
  </conditionalFormatting>
  <conditionalFormatting sqref="S117:S121">
    <cfRule type="cellIs" dxfId="98" priority="265" operator="equal">
      <formula>0</formula>
    </cfRule>
  </conditionalFormatting>
  <conditionalFormatting sqref="J14:J21">
    <cfRule type="cellIs" dxfId="97" priority="260" stopIfTrue="1" operator="equal">
      <formula>0</formula>
    </cfRule>
  </conditionalFormatting>
  <conditionalFormatting sqref="J14:J21">
    <cfRule type="cellIs" dxfId="96" priority="259" operator="equal">
      <formula>0</formula>
    </cfRule>
  </conditionalFormatting>
  <conditionalFormatting sqref="J98">
    <cfRule type="cellIs" dxfId="95" priority="252" stopIfTrue="1" operator="equal">
      <formula>0</formula>
    </cfRule>
  </conditionalFormatting>
  <conditionalFormatting sqref="J98">
    <cfRule type="cellIs" dxfId="94" priority="251" operator="equal">
      <formula>0</formula>
    </cfRule>
  </conditionalFormatting>
  <conditionalFormatting sqref="J126">
    <cfRule type="cellIs" dxfId="93" priority="250" stopIfTrue="1" operator="equal">
      <formula>0</formula>
    </cfRule>
  </conditionalFormatting>
  <conditionalFormatting sqref="J126">
    <cfRule type="cellIs" dxfId="92" priority="249" operator="equal">
      <formula>0</formula>
    </cfRule>
  </conditionalFormatting>
  <conditionalFormatting sqref="M14:M21">
    <cfRule type="cellIs" dxfId="91" priority="246" stopIfTrue="1" operator="equal">
      <formula>0</formula>
    </cfRule>
  </conditionalFormatting>
  <conditionalFormatting sqref="M14:M21">
    <cfRule type="cellIs" dxfId="90" priority="245" operator="equal">
      <formula>0</formula>
    </cfRule>
  </conditionalFormatting>
  <conditionalFormatting sqref="M98">
    <cfRule type="cellIs" dxfId="89" priority="232" stopIfTrue="1" operator="equal">
      <formula>0</formula>
    </cfRule>
  </conditionalFormatting>
  <conditionalFormatting sqref="M98">
    <cfRule type="cellIs" dxfId="88" priority="231" operator="equal">
      <formula>0</formula>
    </cfRule>
  </conditionalFormatting>
  <conditionalFormatting sqref="M126">
    <cfRule type="cellIs" dxfId="87" priority="228" stopIfTrue="1" operator="equal">
      <formula>0</formula>
    </cfRule>
  </conditionalFormatting>
  <conditionalFormatting sqref="M126">
    <cfRule type="cellIs" dxfId="86" priority="227" operator="equal">
      <formula>0</formula>
    </cfRule>
  </conditionalFormatting>
  <conditionalFormatting sqref="K98 K126 K14:K21">
    <cfRule type="cellIs" dxfId="85" priority="224" stopIfTrue="1" operator="equal">
      <formula>0</formula>
    </cfRule>
  </conditionalFormatting>
  <conditionalFormatting sqref="K98 K126 K14:K21">
    <cfRule type="cellIs" dxfId="84" priority="223" operator="equal">
      <formula>0</formula>
    </cfRule>
  </conditionalFormatting>
  <conditionalFormatting sqref="P14:P21">
    <cfRule type="cellIs" dxfId="83" priority="172" stopIfTrue="1" operator="equal">
      <formula>0</formula>
    </cfRule>
  </conditionalFormatting>
  <conditionalFormatting sqref="P14:P21">
    <cfRule type="cellIs" dxfId="82" priority="171" operator="equal">
      <formula>0</formula>
    </cfRule>
  </conditionalFormatting>
  <conditionalFormatting sqref="P30:P37">
    <cfRule type="cellIs" dxfId="81" priority="64" stopIfTrue="1" operator="equal">
      <formula>0</formula>
    </cfRule>
  </conditionalFormatting>
  <conditionalFormatting sqref="P30:P37">
    <cfRule type="cellIs" dxfId="80" priority="63" operator="equal">
      <formula>0</formula>
    </cfRule>
  </conditionalFormatting>
  <conditionalFormatting sqref="Q30:Q37">
    <cfRule type="cellIs" dxfId="79" priority="62" stopIfTrue="1" operator="equal">
      <formula>0</formula>
    </cfRule>
  </conditionalFormatting>
  <conditionalFormatting sqref="Q30:Q37">
    <cfRule type="cellIs" dxfId="78" priority="61" operator="equal">
      <formula>0</formula>
    </cfRule>
  </conditionalFormatting>
  <conditionalFormatting sqref="K30:K37">
    <cfRule type="cellIs" dxfId="77" priority="66" stopIfTrue="1" operator="equal">
      <formula>0</formula>
    </cfRule>
  </conditionalFormatting>
  <conditionalFormatting sqref="K30:K37">
    <cfRule type="cellIs" dxfId="76" priority="65" operator="equal">
      <formula>0</formula>
    </cfRule>
  </conditionalFormatting>
  <conditionalFormatting sqref="M30:M37">
    <cfRule type="cellIs" dxfId="75" priority="68" stopIfTrue="1" operator="equal">
      <formula>0</formula>
    </cfRule>
  </conditionalFormatting>
  <conditionalFormatting sqref="M30:M37">
    <cfRule type="cellIs" dxfId="74" priority="67" operator="equal">
      <formula>0</formula>
    </cfRule>
  </conditionalFormatting>
  <conditionalFormatting sqref="J30:J37">
    <cfRule type="cellIs" dxfId="73" priority="70" stopIfTrue="1" operator="equal">
      <formula>0</formula>
    </cfRule>
  </conditionalFormatting>
  <conditionalFormatting sqref="J30:J37">
    <cfRule type="cellIs" dxfId="72" priority="69" operator="equal">
      <formula>0</formula>
    </cfRule>
  </conditionalFormatting>
  <conditionalFormatting sqref="I30:I37 L30:L37 R30:R37 N30:O37">
    <cfRule type="cellIs" dxfId="71" priority="72" stopIfTrue="1" operator="equal">
      <formula>0</formula>
    </cfRule>
  </conditionalFormatting>
  <conditionalFormatting sqref="I30:I37 L30:L37 R30:R37 N30:O37">
    <cfRule type="cellIs" dxfId="70" priority="71" operator="equal">
      <formula>0</formula>
    </cfRule>
  </conditionalFormatting>
  <conditionalFormatting sqref="Q14:Q21">
    <cfRule type="cellIs" dxfId="69" priority="74" stopIfTrue="1" operator="equal">
      <formula>0</formula>
    </cfRule>
  </conditionalFormatting>
  <conditionalFormatting sqref="Q14:Q21">
    <cfRule type="cellIs" dxfId="68" priority="73" operator="equal">
      <formula>0</formula>
    </cfRule>
  </conditionalFormatting>
  <conditionalFormatting sqref="I62:I69 L62:L69 N62:O69 R62:R69">
    <cfRule type="cellIs" dxfId="67" priority="48" stopIfTrue="1" operator="equal">
      <formula>0</formula>
    </cfRule>
  </conditionalFormatting>
  <conditionalFormatting sqref="I62:I69 L62:L69 N62:O69 R62:R69">
    <cfRule type="cellIs" dxfId="66" priority="47" operator="equal">
      <formula>0</formula>
    </cfRule>
  </conditionalFormatting>
  <conditionalFormatting sqref="J62:J69">
    <cfRule type="cellIs" dxfId="65" priority="46" stopIfTrue="1" operator="equal">
      <formula>0</formula>
    </cfRule>
  </conditionalFormatting>
  <conditionalFormatting sqref="J62:J69">
    <cfRule type="cellIs" dxfId="64" priority="45" operator="equal">
      <formula>0</formula>
    </cfRule>
  </conditionalFormatting>
  <conditionalFormatting sqref="M62:M69">
    <cfRule type="cellIs" dxfId="63" priority="44" stopIfTrue="1" operator="equal">
      <formula>0</formula>
    </cfRule>
  </conditionalFormatting>
  <conditionalFormatting sqref="M62:M69">
    <cfRule type="cellIs" dxfId="62" priority="43" operator="equal">
      <formula>0</formula>
    </cfRule>
  </conditionalFormatting>
  <conditionalFormatting sqref="K62:K69">
    <cfRule type="cellIs" dxfId="61" priority="42" stopIfTrue="1" operator="equal">
      <formula>0</formula>
    </cfRule>
  </conditionalFormatting>
  <conditionalFormatting sqref="K62:K69">
    <cfRule type="cellIs" dxfId="60" priority="41" operator="equal">
      <formula>0</formula>
    </cfRule>
  </conditionalFormatting>
  <conditionalFormatting sqref="P62:P69">
    <cfRule type="cellIs" dxfId="59" priority="40" stopIfTrue="1" operator="equal">
      <formula>0</formula>
    </cfRule>
  </conditionalFormatting>
  <conditionalFormatting sqref="P62:P69">
    <cfRule type="cellIs" dxfId="58" priority="39" operator="equal">
      <formula>0</formula>
    </cfRule>
  </conditionalFormatting>
  <conditionalFormatting sqref="Q62:Q69">
    <cfRule type="cellIs" dxfId="57" priority="38" stopIfTrue="1" operator="equal">
      <formula>0</formula>
    </cfRule>
  </conditionalFormatting>
  <conditionalFormatting sqref="Q62:Q69">
    <cfRule type="cellIs" dxfId="56" priority="37" operator="equal">
      <formula>0</formula>
    </cfRule>
  </conditionalFormatting>
  <conditionalFormatting sqref="I78:I97 L78:L97 R78:R97 N78:O97">
    <cfRule type="cellIs" dxfId="55" priority="36" stopIfTrue="1" operator="equal">
      <formula>0</formula>
    </cfRule>
  </conditionalFormatting>
  <conditionalFormatting sqref="I78:I97 L78:L97 R78:R97 N78:O97">
    <cfRule type="cellIs" dxfId="54" priority="35" operator="equal">
      <formula>0</formula>
    </cfRule>
  </conditionalFormatting>
  <conditionalFormatting sqref="J78:J97">
    <cfRule type="cellIs" dxfId="53" priority="34" stopIfTrue="1" operator="equal">
      <formula>0</formula>
    </cfRule>
  </conditionalFormatting>
  <conditionalFormatting sqref="J78:J97">
    <cfRule type="cellIs" dxfId="52" priority="33" operator="equal">
      <formula>0</formula>
    </cfRule>
  </conditionalFormatting>
  <conditionalFormatting sqref="M78:M97">
    <cfRule type="cellIs" dxfId="51" priority="32" stopIfTrue="1" operator="equal">
      <formula>0</formula>
    </cfRule>
  </conditionalFormatting>
  <conditionalFormatting sqref="M78:M97">
    <cfRule type="cellIs" dxfId="50" priority="31" operator="equal">
      <formula>0</formula>
    </cfRule>
  </conditionalFormatting>
  <conditionalFormatting sqref="K78:K97">
    <cfRule type="cellIs" dxfId="49" priority="30" stopIfTrue="1" operator="equal">
      <formula>0</formula>
    </cfRule>
  </conditionalFormatting>
  <conditionalFormatting sqref="K78:K97">
    <cfRule type="cellIs" dxfId="48" priority="29" operator="equal">
      <formula>0</formula>
    </cfRule>
  </conditionalFormatting>
  <conditionalFormatting sqref="P78:P97">
    <cfRule type="cellIs" dxfId="47" priority="28" stopIfTrue="1" operator="equal">
      <formula>0</formula>
    </cfRule>
  </conditionalFormatting>
  <conditionalFormatting sqref="P78:P97">
    <cfRule type="cellIs" dxfId="46" priority="27" operator="equal">
      <formula>0</formula>
    </cfRule>
  </conditionalFormatting>
  <conditionalFormatting sqref="J106:J125">
    <cfRule type="cellIs" dxfId="45" priority="22" stopIfTrue="1" operator="equal">
      <formula>0</formula>
    </cfRule>
  </conditionalFormatting>
  <conditionalFormatting sqref="J106:J125">
    <cfRule type="cellIs" dxfId="44" priority="21" operator="equal">
      <formula>0</formula>
    </cfRule>
  </conditionalFormatting>
  <conditionalFormatting sqref="I106:I125 L106:L125 R106:R125 N106:O125">
    <cfRule type="cellIs" dxfId="43" priority="24" stopIfTrue="1" operator="equal">
      <formula>0</formula>
    </cfRule>
  </conditionalFormatting>
  <conditionalFormatting sqref="I106:I125 L106:L125 R106:R125 N106:O125">
    <cfRule type="cellIs" dxfId="42" priority="23" operator="equal">
      <formula>0</formula>
    </cfRule>
  </conditionalFormatting>
  <conditionalFormatting sqref="M106:M125">
    <cfRule type="cellIs" dxfId="41" priority="20" stopIfTrue="1" operator="equal">
      <formula>0</formula>
    </cfRule>
  </conditionalFormatting>
  <conditionalFormatting sqref="M106:M125">
    <cfRule type="cellIs" dxfId="40" priority="19" operator="equal">
      <formula>0</formula>
    </cfRule>
  </conditionalFormatting>
  <conditionalFormatting sqref="K106:K125">
    <cfRule type="cellIs" dxfId="39" priority="18" stopIfTrue="1" operator="equal">
      <formula>0</formula>
    </cfRule>
  </conditionalFormatting>
  <conditionalFormatting sqref="K106:K125">
    <cfRule type="cellIs" dxfId="38" priority="17" operator="equal">
      <formula>0</formula>
    </cfRule>
  </conditionalFormatting>
  <conditionalFormatting sqref="P106:P125">
    <cfRule type="cellIs" dxfId="37" priority="16" stopIfTrue="1" operator="equal">
      <formula>0</formula>
    </cfRule>
  </conditionalFormatting>
  <conditionalFormatting sqref="P106:P125">
    <cfRule type="cellIs" dxfId="36" priority="15" operator="equal">
      <formula>0</formula>
    </cfRule>
  </conditionalFormatting>
  <conditionalFormatting sqref="Q78:Q97">
    <cfRule type="cellIs" dxfId="35" priority="12" stopIfTrue="1" operator="equal">
      <formula>0</formula>
    </cfRule>
  </conditionalFormatting>
  <conditionalFormatting sqref="Q78:Q97">
    <cfRule type="cellIs" dxfId="34" priority="11" operator="equal">
      <formula>0</formula>
    </cfRule>
  </conditionalFormatting>
  <conditionalFormatting sqref="Q106:Q125">
    <cfRule type="cellIs" dxfId="33" priority="10" stopIfTrue="1" operator="equal">
      <formula>0</formula>
    </cfRule>
  </conditionalFormatting>
  <conditionalFormatting sqref="Q106:Q125">
    <cfRule type="cellIs" dxfId="32" priority="9" operator="equal">
      <formula>0</formula>
    </cfRule>
  </conditionalFormatting>
  <conditionalFormatting sqref="D62:D69">
    <cfRule type="cellIs" dxfId="31" priority="6" stopIfTrue="1" operator="equal">
      <formula>0</formula>
    </cfRule>
  </conditionalFormatting>
  <conditionalFormatting sqref="D62:D69">
    <cfRule type="cellIs" dxfId="30" priority="5" operator="equal">
      <formula>0</formula>
    </cfRule>
  </conditionalFormatting>
  <conditionalFormatting sqref="D78:D97">
    <cfRule type="cellIs" dxfId="29" priority="4" stopIfTrue="1" operator="equal">
      <formula>0</formula>
    </cfRule>
  </conditionalFormatting>
  <conditionalFormatting sqref="D78:D97">
    <cfRule type="cellIs" dxfId="28" priority="3" operator="equal">
      <formula>0</formula>
    </cfRule>
  </conditionalFormatting>
  <conditionalFormatting sqref="D106:D125">
    <cfRule type="cellIs" dxfId="27" priority="2" stopIfTrue="1" operator="equal">
      <formula>0</formula>
    </cfRule>
  </conditionalFormatting>
  <conditionalFormatting sqref="D106:D125">
    <cfRule type="cellIs" dxfId="26" priority="1" operator="equal">
      <formula>0</formula>
    </cfRule>
  </conditionalFormatting>
  <printOptions horizontalCentered="1"/>
  <pageMargins left="0.51181102362204722" right="0.51181102362204722" top="0.78740157480314965" bottom="0.78740157480314965" header="0.31496062992125984" footer="0.31496062992125984"/>
  <pageSetup paperSize="9" scale="28" fitToHeight="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H447"/>
  <sheetViews>
    <sheetView view="pageBreakPreview" topLeftCell="A4" zoomScale="40" zoomScaleNormal="25" zoomScaleSheetLayoutView="40" workbookViewId="0">
      <selection activeCell="F38" sqref="F38"/>
    </sheetView>
  </sheetViews>
  <sheetFormatPr defaultRowHeight="26.25" x14ac:dyDescent="0.2"/>
  <cols>
    <col min="1" max="1" width="10.5703125" style="429" bestFit="1" customWidth="1"/>
    <col min="2" max="2" width="34.7109375" style="323" customWidth="1"/>
    <col min="3" max="4" width="30.7109375" style="323" customWidth="1"/>
    <col min="5" max="9" width="45.7109375" style="323" customWidth="1"/>
    <col min="10" max="13" width="35.7109375" style="323" customWidth="1"/>
    <col min="14" max="14" width="45.7109375" style="323" customWidth="1"/>
    <col min="15" max="18" width="35.7109375" style="323" customWidth="1"/>
    <col min="19" max="19" width="68.140625" style="323" bestFit="1" customWidth="1"/>
    <col min="20" max="20" width="9.140625" style="426"/>
    <col min="21" max="21" width="15.7109375" style="426" customWidth="1"/>
    <col min="22" max="33" width="20.7109375" style="426" customWidth="1"/>
    <col min="34" max="34" width="30.42578125" style="426" bestFit="1" customWidth="1"/>
    <col min="35" max="16384" width="9.140625" style="426"/>
  </cols>
  <sheetData>
    <row r="1" spans="1:34" ht="39.950000000000003" customHeight="1" x14ac:dyDescent="0.2">
      <c r="A1" s="425"/>
      <c r="B1" s="319"/>
      <c r="C1" s="319"/>
      <c r="D1" s="319"/>
      <c r="E1" s="319"/>
      <c r="F1" s="319"/>
      <c r="G1" s="319"/>
      <c r="H1" s="319"/>
      <c r="I1" s="319"/>
      <c r="J1" s="319"/>
      <c r="K1" s="319"/>
      <c r="L1" s="319"/>
      <c r="M1" s="319"/>
      <c r="N1" s="319"/>
      <c r="O1" s="319"/>
      <c r="P1" s="319"/>
      <c r="Q1" s="319"/>
      <c r="R1" s="319"/>
      <c r="S1" s="319"/>
    </row>
    <row r="2" spans="1:34" ht="39.950000000000003" customHeight="1" x14ac:dyDescent="0.2">
      <c r="A2" s="748" t="s">
        <v>19</v>
      </c>
      <c r="B2" s="749"/>
      <c r="C2" s="749"/>
      <c r="D2" s="749"/>
      <c r="E2" s="749"/>
      <c r="F2" s="749"/>
      <c r="G2" s="749"/>
      <c r="H2" s="749"/>
      <c r="I2" s="749"/>
      <c r="J2" s="749"/>
      <c r="K2" s="749"/>
      <c r="L2" s="749"/>
      <c r="M2" s="749"/>
      <c r="N2" s="749"/>
      <c r="O2" s="749"/>
      <c r="P2" s="749"/>
      <c r="Q2" s="749"/>
      <c r="R2" s="749"/>
      <c r="S2" s="749"/>
    </row>
    <row r="3" spans="1:34" ht="39.950000000000003" customHeight="1" x14ac:dyDescent="0.2">
      <c r="A3" s="750" t="s">
        <v>193</v>
      </c>
      <c r="B3" s="751"/>
      <c r="C3" s="751"/>
      <c r="D3" s="751"/>
      <c r="E3" s="751"/>
      <c r="F3" s="751"/>
      <c r="G3" s="751"/>
      <c r="H3" s="751"/>
      <c r="I3" s="751"/>
      <c r="J3" s="751"/>
      <c r="K3" s="751"/>
      <c r="L3" s="751"/>
      <c r="M3" s="751"/>
      <c r="N3" s="751"/>
      <c r="O3" s="751"/>
      <c r="P3" s="751"/>
      <c r="Q3" s="751"/>
      <c r="R3" s="751"/>
      <c r="S3" s="751"/>
    </row>
    <row r="4" spans="1:34" ht="39.950000000000003" customHeight="1" x14ac:dyDescent="0.2">
      <c r="A4" s="750" t="s">
        <v>18</v>
      </c>
      <c r="B4" s="751"/>
      <c r="C4" s="751"/>
      <c r="D4" s="751"/>
      <c r="E4" s="751"/>
      <c r="F4" s="751"/>
      <c r="G4" s="751"/>
      <c r="H4" s="751"/>
      <c r="I4" s="751"/>
      <c r="J4" s="751"/>
      <c r="K4" s="751"/>
      <c r="L4" s="751"/>
      <c r="M4" s="751"/>
      <c r="N4" s="751"/>
      <c r="O4" s="751"/>
      <c r="P4" s="751"/>
      <c r="Q4" s="751"/>
      <c r="R4" s="751"/>
      <c r="S4" s="751"/>
    </row>
    <row r="5" spans="1:34" ht="39.950000000000003" customHeight="1" thickBot="1" x14ac:dyDescent="0.25">
      <c r="A5" s="427"/>
      <c r="B5" s="366"/>
      <c r="C5" s="366"/>
      <c r="D5" s="366"/>
      <c r="E5" s="366"/>
      <c r="F5" s="366"/>
      <c r="G5" s="366"/>
      <c r="H5" s="366"/>
      <c r="I5" s="366"/>
      <c r="J5" s="366"/>
      <c r="K5" s="366"/>
      <c r="L5" s="366"/>
      <c r="M5" s="366"/>
      <c r="N5" s="366"/>
      <c r="O5" s="366"/>
      <c r="P5" s="366"/>
      <c r="Q5" s="366"/>
      <c r="R5" s="366"/>
      <c r="S5" s="366"/>
    </row>
    <row r="6" spans="1:34" s="428" customFormat="1" ht="54.95" customHeight="1" thickTop="1" thickBot="1" x14ac:dyDescent="0.25">
      <c r="A6" s="752" t="s">
        <v>418</v>
      </c>
      <c r="B6" s="753"/>
      <c r="C6" s="753"/>
      <c r="D6" s="753"/>
      <c r="E6" s="753"/>
      <c r="F6" s="753"/>
      <c r="G6" s="753"/>
      <c r="H6" s="753"/>
      <c r="I6" s="753"/>
      <c r="J6" s="753"/>
      <c r="K6" s="753"/>
      <c r="L6" s="753"/>
      <c r="M6" s="753"/>
      <c r="N6" s="753"/>
      <c r="O6" s="753"/>
      <c r="P6" s="753"/>
      <c r="Q6" s="753"/>
      <c r="R6" s="753"/>
      <c r="S6" s="753"/>
    </row>
    <row r="7" spans="1:34" ht="54.95" customHeight="1" thickTop="1" thickBot="1" x14ac:dyDescent="0.25">
      <c r="A7" s="754" t="str">
        <f>'ORÇAMENTO GERAL'!C7</f>
        <v>EXECUÇÃO DOS SERVIÇOS DE DRENAGEM SUPERFICIAL E DRENAGEM PROFUNDA  NA TRAVESSA BEIRA RIO E RUA MOCAJATUBA - NO DISTRITO INDUSTRIAL  NO MUNICÍPIO DE ANANINDEUA (PA).</v>
      </c>
      <c r="B7" s="755"/>
      <c r="C7" s="755"/>
      <c r="D7" s="755"/>
      <c r="E7" s="755"/>
      <c r="F7" s="755"/>
      <c r="G7" s="755"/>
      <c r="H7" s="755"/>
      <c r="I7" s="755"/>
      <c r="J7" s="755"/>
      <c r="K7" s="755"/>
      <c r="L7" s="755"/>
      <c r="M7" s="755"/>
      <c r="N7" s="755"/>
      <c r="O7" s="755"/>
      <c r="P7" s="755"/>
      <c r="Q7" s="755"/>
      <c r="R7" s="755"/>
      <c r="S7" s="755"/>
    </row>
    <row r="8" spans="1:34" ht="39.950000000000003" customHeight="1" x14ac:dyDescent="0.2">
      <c r="A8" s="766" t="s">
        <v>398</v>
      </c>
      <c r="B8" s="767"/>
      <c r="C8" s="770" t="s">
        <v>408</v>
      </c>
      <c r="D8" s="773" t="s">
        <v>406</v>
      </c>
      <c r="E8" s="760" t="s">
        <v>399</v>
      </c>
      <c r="F8" s="760"/>
      <c r="G8" s="760"/>
      <c r="H8" s="760"/>
      <c r="I8" s="760"/>
      <c r="J8" s="760" t="s">
        <v>400</v>
      </c>
      <c r="K8" s="760"/>
      <c r="L8" s="760"/>
      <c r="M8" s="760"/>
      <c r="N8" s="760"/>
      <c r="O8" s="760"/>
      <c r="P8" s="760"/>
      <c r="Q8" s="760"/>
      <c r="R8" s="760"/>
      <c r="S8" s="761"/>
    </row>
    <row r="9" spans="1:34" ht="39.950000000000003" customHeight="1" x14ac:dyDescent="0.2">
      <c r="A9" s="768"/>
      <c r="B9" s="769"/>
      <c r="C9" s="771"/>
      <c r="D9" s="774"/>
      <c r="E9" s="756"/>
      <c r="F9" s="756"/>
      <c r="G9" s="756"/>
      <c r="H9" s="756"/>
      <c r="I9" s="756"/>
      <c r="J9" s="756" t="s">
        <v>629</v>
      </c>
      <c r="K9" s="756"/>
      <c r="L9" s="756"/>
      <c r="M9" s="756"/>
      <c r="N9" s="756"/>
      <c r="O9" s="756" t="s">
        <v>509</v>
      </c>
      <c r="P9" s="756"/>
      <c r="Q9" s="756"/>
      <c r="R9" s="756"/>
      <c r="S9" s="757"/>
    </row>
    <row r="10" spans="1:34" ht="78.75" x14ac:dyDescent="0.2">
      <c r="A10" s="768"/>
      <c r="B10" s="769"/>
      <c r="C10" s="771"/>
      <c r="D10" s="774"/>
      <c r="E10" s="325" t="s">
        <v>414</v>
      </c>
      <c r="F10" s="325" t="s">
        <v>494</v>
      </c>
      <c r="G10" s="325" t="s">
        <v>415</v>
      </c>
      <c r="H10" s="325" t="s">
        <v>493</v>
      </c>
      <c r="I10" s="325" t="s">
        <v>402</v>
      </c>
      <c r="J10" s="325" t="s">
        <v>405</v>
      </c>
      <c r="K10" s="325" t="s">
        <v>578</v>
      </c>
      <c r="L10" s="325" t="s">
        <v>570</v>
      </c>
      <c r="M10" s="325" t="s">
        <v>569</v>
      </c>
      <c r="N10" s="325" t="s">
        <v>571</v>
      </c>
      <c r="O10" s="325" t="s">
        <v>405</v>
      </c>
      <c r="P10" s="325" t="s">
        <v>578</v>
      </c>
      <c r="Q10" s="325" t="s">
        <v>570</v>
      </c>
      <c r="R10" s="325" t="s">
        <v>569</v>
      </c>
      <c r="S10" s="325" t="s">
        <v>571</v>
      </c>
      <c r="V10" s="372"/>
      <c r="W10" s="372"/>
      <c r="X10" s="372"/>
      <c r="Y10" s="372"/>
      <c r="Z10" s="372"/>
      <c r="AA10" s="372"/>
      <c r="AB10" s="372"/>
      <c r="AC10" s="372"/>
      <c r="AD10" s="372"/>
      <c r="AE10" s="372"/>
      <c r="AF10" s="372"/>
      <c r="AG10" s="372"/>
      <c r="AH10" s="429"/>
    </row>
    <row r="11" spans="1:34" ht="39.950000000000003" customHeight="1" x14ac:dyDescent="0.2">
      <c r="A11" s="762" t="s">
        <v>7</v>
      </c>
      <c r="B11" s="764" t="s">
        <v>404</v>
      </c>
      <c r="C11" s="772"/>
      <c r="D11" s="775"/>
      <c r="E11" s="328"/>
      <c r="F11" s="328"/>
      <c r="G11" s="329"/>
      <c r="H11" s="329"/>
      <c r="I11" s="329">
        <v>15</v>
      </c>
      <c r="J11" s="328"/>
      <c r="K11" s="329"/>
      <c r="L11" s="329"/>
      <c r="M11" s="329"/>
      <c r="N11" s="329">
        <v>15</v>
      </c>
      <c r="O11" s="328"/>
      <c r="P11" s="328"/>
      <c r="Q11" s="328"/>
      <c r="R11" s="328"/>
      <c r="S11" s="330">
        <v>15</v>
      </c>
      <c r="V11" s="429"/>
      <c r="W11" s="429"/>
      <c r="X11" s="429"/>
      <c r="Y11" s="429"/>
      <c r="Z11" s="429"/>
      <c r="AA11" s="429"/>
      <c r="AB11" s="429"/>
      <c r="AC11" s="429"/>
      <c r="AD11" s="429"/>
      <c r="AE11" s="429"/>
      <c r="AF11" s="429"/>
      <c r="AG11" s="429"/>
      <c r="AH11" s="429"/>
    </row>
    <row r="12" spans="1:34" ht="87" customHeight="1" thickBot="1" x14ac:dyDescent="0.25">
      <c r="A12" s="763"/>
      <c r="B12" s="765"/>
      <c r="C12" s="431" t="s">
        <v>52</v>
      </c>
      <c r="D12" s="432" t="s">
        <v>55</v>
      </c>
      <c r="E12" s="433" t="s">
        <v>550</v>
      </c>
      <c r="F12" s="433" t="s">
        <v>9</v>
      </c>
      <c r="G12" s="433" t="s">
        <v>567</v>
      </c>
      <c r="H12" s="433" t="s">
        <v>516</v>
      </c>
      <c r="I12" s="433" t="s">
        <v>568</v>
      </c>
      <c r="J12" s="433" t="s">
        <v>248</v>
      </c>
      <c r="K12" s="433" t="s">
        <v>572</v>
      </c>
      <c r="L12" s="433" t="s">
        <v>574</v>
      </c>
      <c r="M12" s="433" t="s">
        <v>575</v>
      </c>
      <c r="N12" s="433" t="s">
        <v>576</v>
      </c>
      <c r="O12" s="433" t="s">
        <v>573</v>
      </c>
      <c r="P12" s="431" t="s">
        <v>579</v>
      </c>
      <c r="Q12" s="431" t="s">
        <v>580</v>
      </c>
      <c r="R12" s="431" t="s">
        <v>630</v>
      </c>
      <c r="S12" s="433" t="s">
        <v>631</v>
      </c>
      <c r="V12" s="373" t="s">
        <v>419</v>
      </c>
      <c r="W12" s="373" t="s">
        <v>419</v>
      </c>
      <c r="X12" s="373" t="s">
        <v>419</v>
      </c>
      <c r="Y12" s="373" t="s">
        <v>419</v>
      </c>
      <c r="Z12" s="373" t="s">
        <v>419</v>
      </c>
      <c r="AA12" s="373" t="s">
        <v>419</v>
      </c>
      <c r="AB12" s="373" t="s">
        <v>419</v>
      </c>
      <c r="AC12" s="373" t="s">
        <v>419</v>
      </c>
      <c r="AD12" s="373" t="s">
        <v>419</v>
      </c>
      <c r="AE12" s="373" t="s">
        <v>419</v>
      </c>
      <c r="AF12" s="373" t="s">
        <v>419</v>
      </c>
      <c r="AG12" s="373" t="s">
        <v>419</v>
      </c>
      <c r="AH12" s="430"/>
    </row>
    <row r="13" spans="1:34" ht="83.25" customHeight="1" thickBot="1" x14ac:dyDescent="0.25">
      <c r="A13" s="367"/>
      <c r="B13" s="368"/>
      <c r="C13" s="368"/>
      <c r="D13" s="368"/>
      <c r="E13" s="368"/>
      <c r="F13" s="368"/>
      <c r="G13" s="368"/>
      <c r="H13" s="368"/>
      <c r="I13" s="368"/>
      <c r="J13" s="368"/>
      <c r="K13" s="368"/>
      <c r="L13" s="368"/>
      <c r="M13" s="368"/>
      <c r="N13" s="368"/>
      <c r="O13" s="368"/>
      <c r="P13" s="368"/>
      <c r="Q13" s="368"/>
      <c r="R13" s="368"/>
      <c r="S13" s="368"/>
      <c r="U13" s="350"/>
      <c r="V13" s="325" t="s">
        <v>414</v>
      </c>
      <c r="W13" s="325" t="s">
        <v>415</v>
      </c>
      <c r="X13" s="325" t="s">
        <v>493</v>
      </c>
      <c r="Y13" s="325" t="s">
        <v>402</v>
      </c>
      <c r="Z13" s="325" t="s">
        <v>578</v>
      </c>
      <c r="AA13" s="325" t="s">
        <v>570</v>
      </c>
      <c r="AB13" s="325" t="s">
        <v>569</v>
      </c>
      <c r="AC13" s="325" t="s">
        <v>571</v>
      </c>
      <c r="AD13" s="325" t="s">
        <v>578</v>
      </c>
      <c r="AE13" s="325" t="s">
        <v>570</v>
      </c>
      <c r="AF13" s="325" t="s">
        <v>569</v>
      </c>
      <c r="AG13" s="325" t="s">
        <v>571</v>
      </c>
      <c r="AH13" s="373" t="s">
        <v>391</v>
      </c>
    </row>
    <row r="14" spans="1:34" ht="54.95" customHeight="1" thickTop="1" x14ac:dyDescent="0.2">
      <c r="A14" s="337">
        <f>DADOS!A9</f>
        <v>1</v>
      </c>
      <c r="B14" s="338" t="str">
        <f>DADOS!B9</f>
        <v>TV. BEIRA RIO</v>
      </c>
      <c r="C14" s="339">
        <f>DADOS!E9</f>
        <v>400</v>
      </c>
      <c r="D14" s="324">
        <f>DADOS!F9</f>
        <v>6</v>
      </c>
      <c r="E14" s="324">
        <f>C14*(D14+1)*0</f>
        <v>0</v>
      </c>
      <c r="F14" s="324">
        <v>0.3</v>
      </c>
      <c r="G14" s="324">
        <f>E14*F14*0</f>
        <v>0</v>
      </c>
      <c r="H14" s="324">
        <f>G14</f>
        <v>0</v>
      </c>
      <c r="I14" s="324">
        <f>G14*1.3*$I$11</f>
        <v>0</v>
      </c>
      <c r="J14" s="324">
        <v>0.1</v>
      </c>
      <c r="K14" s="324">
        <f>E14*J14*0</f>
        <v>0</v>
      </c>
      <c r="L14" s="324">
        <f>K14</f>
        <v>0</v>
      </c>
      <c r="M14" s="324">
        <f>K14</f>
        <v>0</v>
      </c>
      <c r="N14" s="324">
        <f>K14*1.3*$N$11</f>
        <v>0</v>
      </c>
      <c r="O14" s="324">
        <v>0.2</v>
      </c>
      <c r="P14" s="324">
        <f>E14*O14*0</f>
        <v>0</v>
      </c>
      <c r="Q14" s="324">
        <f>P14</f>
        <v>0</v>
      </c>
      <c r="R14" s="324">
        <f>P14</f>
        <v>0</v>
      </c>
      <c r="S14" s="324">
        <f>P14*1.3*$S$11</f>
        <v>0</v>
      </c>
      <c r="U14" s="371">
        <f t="shared" ref="U14:U30" si="0">A14</f>
        <v>1</v>
      </c>
      <c r="V14" s="375">
        <f>'ORÇAMENTO GERAL'!$J$100</f>
        <v>5.72</v>
      </c>
      <c r="W14" s="375">
        <f>'ORÇAMENTO GERAL'!$J$101</f>
        <v>2.66</v>
      </c>
      <c r="X14" s="375">
        <f>'ORÇAMENTO GERAL'!$J$102</f>
        <v>7.85</v>
      </c>
      <c r="Y14" s="375">
        <f>'ORÇAMENTO GERAL'!$J$103</f>
        <v>3.42</v>
      </c>
      <c r="Z14" s="375">
        <f>'ORÇAMENTO GERAL'!$J$106</f>
        <v>265.60000000000002</v>
      </c>
      <c r="AA14" s="375">
        <f>'ORÇAMENTO GERAL'!$J$107</f>
        <v>7.85</v>
      </c>
      <c r="AB14" s="375">
        <f>'ORÇAMENTO GERAL'!$J$108</f>
        <v>1.72</v>
      </c>
      <c r="AC14" s="375">
        <f>'ORÇAMENTO GERAL'!$J$109</f>
        <v>2.29</v>
      </c>
      <c r="AD14" s="375">
        <f>'ORÇAMENTO GERAL'!$J$110</f>
        <v>104.84</v>
      </c>
      <c r="AE14" s="375">
        <f>'ORÇAMENTO GERAL'!$J$111</f>
        <v>7.85</v>
      </c>
      <c r="AF14" s="375">
        <f>'ORÇAMENTO GERAL'!$J$112</f>
        <v>1.72</v>
      </c>
      <c r="AG14" s="375">
        <f>'ORÇAMENTO GERAL'!$J$113</f>
        <v>2.33</v>
      </c>
      <c r="AH14" s="374">
        <f t="shared" ref="AH14:AH30" si="1">(E14*V14)+(G14*W14)+(H14*X14)+(I14*Y14)+(K14*Z14)+(L14*AA14)+(M14*AB14)+(N14*AC14)+(P14*AD14)+(Q14*AE14)+(R14*AF14)+(S14*AG14)</f>
        <v>0</v>
      </c>
    </row>
    <row r="15" spans="1:34" s="322" customFormat="1" ht="54.95" customHeight="1" x14ac:dyDescent="0.2">
      <c r="A15" s="337">
        <v>2</v>
      </c>
      <c r="B15" s="338" t="str">
        <f>DADOS!B10</f>
        <v>RUA MOCAJATUBA</v>
      </c>
      <c r="C15" s="339">
        <f>DADOS!E10</f>
        <v>275</v>
      </c>
      <c r="D15" s="324">
        <f>DADOS!F10</f>
        <v>6</v>
      </c>
      <c r="E15" s="324">
        <f t="shared" ref="E15:E16" si="2">C15*(D15+1)*0</f>
        <v>0</v>
      </c>
      <c r="F15" s="324">
        <v>0.3</v>
      </c>
      <c r="G15" s="324">
        <f t="shared" ref="G15:G30" si="3">E15*F15*0</f>
        <v>0</v>
      </c>
      <c r="H15" s="324">
        <f t="shared" ref="H15:H30" si="4">G15</f>
        <v>0</v>
      </c>
      <c r="I15" s="324">
        <f t="shared" ref="I15:I30" si="5">G15*1.3*$I$11</f>
        <v>0</v>
      </c>
      <c r="J15" s="324">
        <v>0.1</v>
      </c>
      <c r="K15" s="324">
        <f t="shared" ref="K15:K16" si="6">E15*J15*0</f>
        <v>0</v>
      </c>
      <c r="L15" s="324">
        <f t="shared" ref="L15:L30" si="7">K15</f>
        <v>0</v>
      </c>
      <c r="M15" s="324">
        <f t="shared" ref="M15:M30" si="8">K15</f>
        <v>0</v>
      </c>
      <c r="N15" s="324">
        <f t="shared" ref="N15:N30" si="9">K15*1.3*$N$11</f>
        <v>0</v>
      </c>
      <c r="O15" s="324">
        <v>0.2</v>
      </c>
      <c r="P15" s="324">
        <f t="shared" ref="P15:P16" si="10">E15*O15*0</f>
        <v>0</v>
      </c>
      <c r="Q15" s="324">
        <f t="shared" ref="Q15:Q30" si="11">P15</f>
        <v>0</v>
      </c>
      <c r="R15" s="324">
        <f t="shared" ref="R15:R30" si="12">P15</f>
        <v>0</v>
      </c>
      <c r="S15" s="324">
        <f t="shared" ref="S15:S30" si="13">P15*1.3*$S$11</f>
        <v>0</v>
      </c>
      <c r="U15" s="371">
        <f t="shared" si="0"/>
        <v>2</v>
      </c>
      <c r="V15" s="375">
        <f>'ORÇAMENTO GERAL'!$J$100</f>
        <v>5.72</v>
      </c>
      <c r="W15" s="375">
        <f>'ORÇAMENTO GERAL'!$J$101</f>
        <v>2.66</v>
      </c>
      <c r="X15" s="375">
        <f>'ORÇAMENTO GERAL'!$J$102</f>
        <v>7.85</v>
      </c>
      <c r="Y15" s="375">
        <f>'ORÇAMENTO GERAL'!$J$103</f>
        <v>3.42</v>
      </c>
      <c r="Z15" s="375">
        <f>'ORÇAMENTO GERAL'!$J$106</f>
        <v>265.60000000000002</v>
      </c>
      <c r="AA15" s="375">
        <f>'ORÇAMENTO GERAL'!$J$107</f>
        <v>7.85</v>
      </c>
      <c r="AB15" s="375">
        <f>'ORÇAMENTO GERAL'!$J$108</f>
        <v>1.72</v>
      </c>
      <c r="AC15" s="375">
        <f>'ORÇAMENTO GERAL'!$J$109</f>
        <v>2.29</v>
      </c>
      <c r="AD15" s="375">
        <f>'ORÇAMENTO GERAL'!$J$110</f>
        <v>104.84</v>
      </c>
      <c r="AE15" s="375">
        <f>'ORÇAMENTO GERAL'!$J$111</f>
        <v>7.85</v>
      </c>
      <c r="AF15" s="375">
        <f>'ORÇAMENTO GERAL'!$J$112</f>
        <v>1.72</v>
      </c>
      <c r="AG15" s="375">
        <f>'ORÇAMENTO GERAL'!$J$113</f>
        <v>2.33</v>
      </c>
      <c r="AH15" s="374">
        <f t="shared" si="1"/>
        <v>0</v>
      </c>
    </row>
    <row r="16" spans="1:34" s="322" customFormat="1" ht="54.95" customHeight="1" thickBot="1" x14ac:dyDescent="0.25">
      <c r="A16" s="337">
        <f>DADOS!A11</f>
        <v>0</v>
      </c>
      <c r="B16" s="338">
        <f>DADOS!B11</f>
        <v>0</v>
      </c>
      <c r="C16" s="339">
        <f>DADOS!E11</f>
        <v>0</v>
      </c>
      <c r="D16" s="324">
        <f>DADOS!F11</f>
        <v>0</v>
      </c>
      <c r="E16" s="324">
        <f t="shared" si="2"/>
        <v>0</v>
      </c>
      <c r="F16" s="324">
        <v>0.3</v>
      </c>
      <c r="G16" s="324">
        <f t="shared" si="3"/>
        <v>0</v>
      </c>
      <c r="H16" s="324">
        <f t="shared" si="4"/>
        <v>0</v>
      </c>
      <c r="I16" s="324">
        <f t="shared" si="5"/>
        <v>0</v>
      </c>
      <c r="J16" s="324">
        <v>0.1</v>
      </c>
      <c r="K16" s="324">
        <f t="shared" si="6"/>
        <v>0</v>
      </c>
      <c r="L16" s="324">
        <f t="shared" si="7"/>
        <v>0</v>
      </c>
      <c r="M16" s="324">
        <f t="shared" si="8"/>
        <v>0</v>
      </c>
      <c r="N16" s="324">
        <f t="shared" si="9"/>
        <v>0</v>
      </c>
      <c r="O16" s="324">
        <v>0.2</v>
      </c>
      <c r="P16" s="324">
        <f t="shared" si="10"/>
        <v>0</v>
      </c>
      <c r="Q16" s="324">
        <f t="shared" si="11"/>
        <v>0</v>
      </c>
      <c r="R16" s="324">
        <f t="shared" si="12"/>
        <v>0</v>
      </c>
      <c r="S16" s="324">
        <f t="shared" si="13"/>
        <v>0</v>
      </c>
      <c r="U16" s="371">
        <f t="shared" si="0"/>
        <v>0</v>
      </c>
      <c r="V16" s="375">
        <f>'ORÇAMENTO GERAL'!$J$100</f>
        <v>5.72</v>
      </c>
      <c r="W16" s="375">
        <f>'ORÇAMENTO GERAL'!$J$101</f>
        <v>2.66</v>
      </c>
      <c r="X16" s="375">
        <f>'ORÇAMENTO GERAL'!$J$102</f>
        <v>7.85</v>
      </c>
      <c r="Y16" s="375">
        <f>'ORÇAMENTO GERAL'!$J$103</f>
        <v>3.42</v>
      </c>
      <c r="Z16" s="375">
        <f>'ORÇAMENTO GERAL'!$J$106</f>
        <v>265.60000000000002</v>
      </c>
      <c r="AA16" s="375">
        <f>'ORÇAMENTO GERAL'!$J$107</f>
        <v>7.85</v>
      </c>
      <c r="AB16" s="375">
        <f>'ORÇAMENTO GERAL'!$J$108</f>
        <v>1.72</v>
      </c>
      <c r="AC16" s="375">
        <f>'ORÇAMENTO GERAL'!$J$109</f>
        <v>2.29</v>
      </c>
      <c r="AD16" s="375">
        <f>'ORÇAMENTO GERAL'!$J$110</f>
        <v>104.84</v>
      </c>
      <c r="AE16" s="375">
        <f>'ORÇAMENTO GERAL'!$J$111</f>
        <v>7.85</v>
      </c>
      <c r="AF16" s="375">
        <f>'ORÇAMENTO GERAL'!$J$112</f>
        <v>1.72</v>
      </c>
      <c r="AG16" s="375">
        <f>'ORÇAMENTO GERAL'!$J$113</f>
        <v>2.33</v>
      </c>
      <c r="AH16" s="374">
        <f t="shared" si="1"/>
        <v>0</v>
      </c>
    </row>
    <row r="17" spans="1:34" s="322" customFormat="1" ht="54.95" hidden="1" customHeight="1" x14ac:dyDescent="0.2">
      <c r="A17" s="337">
        <v>4</v>
      </c>
      <c r="B17" s="338">
        <f>DADOS!B12</f>
        <v>0</v>
      </c>
      <c r="C17" s="339">
        <f>DADOS!E12</f>
        <v>0</v>
      </c>
      <c r="D17" s="324">
        <f>DADOS!F12</f>
        <v>0</v>
      </c>
      <c r="E17" s="324">
        <f t="shared" ref="E17:E30" si="14">C17*(D17+1)</f>
        <v>0</v>
      </c>
      <c r="F17" s="324">
        <v>0.3</v>
      </c>
      <c r="G17" s="324">
        <f t="shared" si="3"/>
        <v>0</v>
      </c>
      <c r="H17" s="324">
        <f t="shared" si="4"/>
        <v>0</v>
      </c>
      <c r="I17" s="324">
        <f t="shared" si="5"/>
        <v>0</v>
      </c>
      <c r="J17" s="324">
        <v>0.15</v>
      </c>
      <c r="K17" s="324">
        <f t="shared" ref="K17:K30" si="15">E17*J17</f>
        <v>0</v>
      </c>
      <c r="L17" s="324">
        <f t="shared" si="7"/>
        <v>0</v>
      </c>
      <c r="M17" s="324">
        <f t="shared" si="8"/>
        <v>0</v>
      </c>
      <c r="N17" s="324">
        <f t="shared" si="9"/>
        <v>0</v>
      </c>
      <c r="O17" s="324">
        <v>0.45</v>
      </c>
      <c r="P17" s="324">
        <f t="shared" ref="P17:P30" si="16">E17*O17</f>
        <v>0</v>
      </c>
      <c r="Q17" s="324">
        <f t="shared" si="11"/>
        <v>0</v>
      </c>
      <c r="R17" s="324">
        <f t="shared" si="12"/>
        <v>0</v>
      </c>
      <c r="S17" s="324">
        <f t="shared" si="13"/>
        <v>0</v>
      </c>
      <c r="U17" s="371">
        <f t="shared" si="0"/>
        <v>4</v>
      </c>
      <c r="V17" s="375">
        <f>'ORÇAMENTO GERAL'!$J$100</f>
        <v>5.72</v>
      </c>
      <c r="W17" s="375">
        <f>'ORÇAMENTO GERAL'!$J$101</f>
        <v>2.66</v>
      </c>
      <c r="X17" s="375">
        <f>'ORÇAMENTO GERAL'!$J$102</f>
        <v>7.85</v>
      </c>
      <c r="Y17" s="375">
        <f>'ORÇAMENTO GERAL'!$J$103</f>
        <v>3.42</v>
      </c>
      <c r="Z17" s="375">
        <f>'ORÇAMENTO GERAL'!$J$106</f>
        <v>265.60000000000002</v>
      </c>
      <c r="AA17" s="375">
        <f>'ORÇAMENTO GERAL'!$J$107</f>
        <v>7.85</v>
      </c>
      <c r="AB17" s="375">
        <f>'ORÇAMENTO GERAL'!$J$108</f>
        <v>1.72</v>
      </c>
      <c r="AC17" s="375">
        <f>'ORÇAMENTO GERAL'!$J$109</f>
        <v>2.29</v>
      </c>
      <c r="AD17" s="375">
        <f>'ORÇAMENTO GERAL'!$J$110</f>
        <v>104.84</v>
      </c>
      <c r="AE17" s="375">
        <f>'ORÇAMENTO GERAL'!$J$111</f>
        <v>7.85</v>
      </c>
      <c r="AF17" s="375">
        <f>'ORÇAMENTO GERAL'!$J$112</f>
        <v>1.72</v>
      </c>
      <c r="AG17" s="375">
        <f>'ORÇAMENTO GERAL'!$J$113</f>
        <v>2.33</v>
      </c>
      <c r="AH17" s="374">
        <f t="shared" si="1"/>
        <v>0</v>
      </c>
    </row>
    <row r="18" spans="1:34" ht="54.95" hidden="1" customHeight="1" x14ac:dyDescent="0.2">
      <c r="A18" s="337">
        <f>DADOS!A13</f>
        <v>5</v>
      </c>
      <c r="B18" s="338">
        <f>DADOS!B13</f>
        <v>0</v>
      </c>
      <c r="C18" s="339">
        <f>DADOS!E13</f>
        <v>0</v>
      </c>
      <c r="D18" s="324">
        <f>DADOS!F13</f>
        <v>0</v>
      </c>
      <c r="E18" s="324">
        <f t="shared" si="14"/>
        <v>0</v>
      </c>
      <c r="F18" s="324">
        <v>0.3</v>
      </c>
      <c r="G18" s="324">
        <f t="shared" si="3"/>
        <v>0</v>
      </c>
      <c r="H18" s="324">
        <f t="shared" si="4"/>
        <v>0</v>
      </c>
      <c r="I18" s="324">
        <f t="shared" si="5"/>
        <v>0</v>
      </c>
      <c r="J18" s="324">
        <v>0.05</v>
      </c>
      <c r="K18" s="324">
        <f t="shared" si="15"/>
        <v>0</v>
      </c>
      <c r="L18" s="324">
        <f t="shared" si="7"/>
        <v>0</v>
      </c>
      <c r="M18" s="324">
        <f t="shared" si="8"/>
        <v>0</v>
      </c>
      <c r="N18" s="324">
        <f t="shared" si="9"/>
        <v>0</v>
      </c>
      <c r="O18" s="324">
        <v>0.25</v>
      </c>
      <c r="P18" s="324">
        <f t="shared" si="16"/>
        <v>0</v>
      </c>
      <c r="Q18" s="324">
        <f t="shared" si="11"/>
        <v>0</v>
      </c>
      <c r="R18" s="324">
        <f t="shared" si="12"/>
        <v>0</v>
      </c>
      <c r="S18" s="324">
        <f t="shared" si="13"/>
        <v>0</v>
      </c>
      <c r="U18" s="371">
        <f t="shared" si="0"/>
        <v>5</v>
      </c>
      <c r="V18" s="375">
        <f>'ORÇAMENTO GERAL'!$J$100</f>
        <v>5.72</v>
      </c>
      <c r="W18" s="375">
        <f>'ORÇAMENTO GERAL'!$J$101</f>
        <v>2.66</v>
      </c>
      <c r="X18" s="375">
        <f>'ORÇAMENTO GERAL'!$J$102</f>
        <v>7.85</v>
      </c>
      <c r="Y18" s="375">
        <f>'ORÇAMENTO GERAL'!$J$103</f>
        <v>3.42</v>
      </c>
      <c r="Z18" s="375">
        <f>'ORÇAMENTO GERAL'!$J$106</f>
        <v>265.60000000000002</v>
      </c>
      <c r="AA18" s="375">
        <f>'ORÇAMENTO GERAL'!$J$107</f>
        <v>7.85</v>
      </c>
      <c r="AB18" s="375">
        <f>'ORÇAMENTO GERAL'!$J$108</f>
        <v>1.72</v>
      </c>
      <c r="AC18" s="375">
        <f>'ORÇAMENTO GERAL'!$J$109</f>
        <v>2.29</v>
      </c>
      <c r="AD18" s="375">
        <f>'ORÇAMENTO GERAL'!$J$110</f>
        <v>104.84</v>
      </c>
      <c r="AE18" s="375">
        <f>'ORÇAMENTO GERAL'!$J$111</f>
        <v>7.85</v>
      </c>
      <c r="AF18" s="375">
        <f>'ORÇAMENTO GERAL'!$J$112</f>
        <v>1.72</v>
      </c>
      <c r="AG18" s="375">
        <f>'ORÇAMENTO GERAL'!$J$113</f>
        <v>2.33</v>
      </c>
      <c r="AH18" s="374">
        <f t="shared" si="1"/>
        <v>0</v>
      </c>
    </row>
    <row r="19" spans="1:34" ht="54.95" hidden="1" customHeight="1" x14ac:dyDescent="0.2">
      <c r="A19" s="337">
        <v>6</v>
      </c>
      <c r="B19" s="338">
        <f>DADOS!B14</f>
        <v>0</v>
      </c>
      <c r="C19" s="339">
        <f>DADOS!E14</f>
        <v>0</v>
      </c>
      <c r="D19" s="324">
        <f>DADOS!F14</f>
        <v>0</v>
      </c>
      <c r="E19" s="324">
        <f t="shared" si="14"/>
        <v>0</v>
      </c>
      <c r="F19" s="324">
        <v>0.3</v>
      </c>
      <c r="G19" s="324">
        <f t="shared" si="3"/>
        <v>0</v>
      </c>
      <c r="H19" s="324">
        <f t="shared" si="4"/>
        <v>0</v>
      </c>
      <c r="I19" s="324">
        <f t="shared" si="5"/>
        <v>0</v>
      </c>
      <c r="J19" s="324">
        <v>0.15</v>
      </c>
      <c r="K19" s="324">
        <f t="shared" si="15"/>
        <v>0</v>
      </c>
      <c r="L19" s="324">
        <f t="shared" si="7"/>
        <v>0</v>
      </c>
      <c r="M19" s="324">
        <f t="shared" si="8"/>
        <v>0</v>
      </c>
      <c r="N19" s="324">
        <f t="shared" si="9"/>
        <v>0</v>
      </c>
      <c r="O19" s="324">
        <v>0.45</v>
      </c>
      <c r="P19" s="324">
        <f t="shared" si="16"/>
        <v>0</v>
      </c>
      <c r="Q19" s="324">
        <f t="shared" si="11"/>
        <v>0</v>
      </c>
      <c r="R19" s="324">
        <f t="shared" si="12"/>
        <v>0</v>
      </c>
      <c r="S19" s="324">
        <f t="shared" si="13"/>
        <v>0</v>
      </c>
      <c r="U19" s="371">
        <f t="shared" si="0"/>
        <v>6</v>
      </c>
      <c r="V19" s="375">
        <f>'ORÇAMENTO GERAL'!$J$100</f>
        <v>5.72</v>
      </c>
      <c r="W19" s="375">
        <f>'ORÇAMENTO GERAL'!$J$101</f>
        <v>2.66</v>
      </c>
      <c r="X19" s="375">
        <f>'ORÇAMENTO GERAL'!$J$102</f>
        <v>7.85</v>
      </c>
      <c r="Y19" s="375">
        <f>'ORÇAMENTO GERAL'!$J$103</f>
        <v>3.42</v>
      </c>
      <c r="Z19" s="375">
        <f>'ORÇAMENTO GERAL'!$J$106</f>
        <v>265.60000000000002</v>
      </c>
      <c r="AA19" s="375">
        <f>'ORÇAMENTO GERAL'!$J$107</f>
        <v>7.85</v>
      </c>
      <c r="AB19" s="375">
        <f>'ORÇAMENTO GERAL'!$J$108</f>
        <v>1.72</v>
      </c>
      <c r="AC19" s="375">
        <f>'ORÇAMENTO GERAL'!$J$109</f>
        <v>2.29</v>
      </c>
      <c r="AD19" s="375">
        <f>'ORÇAMENTO GERAL'!$J$110</f>
        <v>104.84</v>
      </c>
      <c r="AE19" s="375">
        <f>'ORÇAMENTO GERAL'!$J$111</f>
        <v>7.85</v>
      </c>
      <c r="AF19" s="375">
        <f>'ORÇAMENTO GERAL'!$J$112</f>
        <v>1.72</v>
      </c>
      <c r="AG19" s="375">
        <f>'ORÇAMENTO GERAL'!$J$113</f>
        <v>2.33</v>
      </c>
      <c r="AH19" s="374">
        <f t="shared" si="1"/>
        <v>0</v>
      </c>
    </row>
    <row r="20" spans="1:34" ht="54.95" hidden="1" customHeight="1" x14ac:dyDescent="0.2">
      <c r="A20" s="337">
        <f>DADOS!A15</f>
        <v>7</v>
      </c>
      <c r="B20" s="338">
        <f>DADOS!B15</f>
        <v>0</v>
      </c>
      <c r="C20" s="339"/>
      <c r="D20" s="324"/>
      <c r="E20" s="324">
        <f t="shared" si="14"/>
        <v>0</v>
      </c>
      <c r="F20" s="324">
        <v>0.3</v>
      </c>
      <c r="G20" s="324">
        <f t="shared" si="3"/>
        <v>0</v>
      </c>
      <c r="H20" s="324">
        <f t="shared" si="4"/>
        <v>0</v>
      </c>
      <c r="I20" s="324">
        <f t="shared" si="5"/>
        <v>0</v>
      </c>
      <c r="J20" s="324"/>
      <c r="K20" s="324">
        <f t="shared" si="15"/>
        <v>0</v>
      </c>
      <c r="L20" s="324">
        <f t="shared" si="7"/>
        <v>0</v>
      </c>
      <c r="M20" s="324">
        <f t="shared" si="8"/>
        <v>0</v>
      </c>
      <c r="N20" s="324">
        <f t="shared" si="9"/>
        <v>0</v>
      </c>
      <c r="O20" s="324"/>
      <c r="P20" s="324">
        <f t="shared" si="16"/>
        <v>0</v>
      </c>
      <c r="Q20" s="324">
        <f t="shared" si="11"/>
        <v>0</v>
      </c>
      <c r="R20" s="324">
        <f t="shared" si="12"/>
        <v>0</v>
      </c>
      <c r="S20" s="324">
        <f t="shared" si="13"/>
        <v>0</v>
      </c>
      <c r="U20" s="371">
        <f t="shared" si="0"/>
        <v>7</v>
      </c>
      <c r="V20" s="375">
        <f>'ORÇAMENTO GERAL'!$J$100</f>
        <v>5.72</v>
      </c>
      <c r="W20" s="375">
        <f>'ORÇAMENTO GERAL'!$J$101</f>
        <v>2.66</v>
      </c>
      <c r="X20" s="375">
        <f>'ORÇAMENTO GERAL'!$J$102</f>
        <v>7.85</v>
      </c>
      <c r="Y20" s="375">
        <f>'ORÇAMENTO GERAL'!$J$103</f>
        <v>3.42</v>
      </c>
      <c r="Z20" s="375">
        <f>'ORÇAMENTO GERAL'!$J$106</f>
        <v>265.60000000000002</v>
      </c>
      <c r="AA20" s="375">
        <f>'ORÇAMENTO GERAL'!$J$107</f>
        <v>7.85</v>
      </c>
      <c r="AB20" s="375">
        <f>'ORÇAMENTO GERAL'!$J$108</f>
        <v>1.72</v>
      </c>
      <c r="AC20" s="375">
        <f>'ORÇAMENTO GERAL'!$J$109</f>
        <v>2.29</v>
      </c>
      <c r="AD20" s="375">
        <f>'ORÇAMENTO GERAL'!$J$110</f>
        <v>104.84</v>
      </c>
      <c r="AE20" s="375">
        <f>'ORÇAMENTO GERAL'!$J$111</f>
        <v>7.85</v>
      </c>
      <c r="AF20" s="375">
        <f>'ORÇAMENTO GERAL'!$J$112</f>
        <v>1.72</v>
      </c>
      <c r="AG20" s="375">
        <f>'ORÇAMENTO GERAL'!$J$113</f>
        <v>2.33</v>
      </c>
      <c r="AH20" s="374">
        <f t="shared" si="1"/>
        <v>0</v>
      </c>
    </row>
    <row r="21" spans="1:34" ht="54.95" hidden="1" customHeight="1" x14ac:dyDescent="0.2">
      <c r="A21" s="337">
        <v>8</v>
      </c>
      <c r="B21" s="338">
        <f>DADOS!B16</f>
        <v>0</v>
      </c>
      <c r="C21" s="339">
        <f>DADOS!E16</f>
        <v>0</v>
      </c>
      <c r="D21" s="324">
        <f>DADOS!F16</f>
        <v>0</v>
      </c>
      <c r="E21" s="324">
        <f>C21*(D21+1)</f>
        <v>0</v>
      </c>
      <c r="F21" s="324">
        <v>0.3</v>
      </c>
      <c r="G21" s="324">
        <f t="shared" si="3"/>
        <v>0</v>
      </c>
      <c r="H21" s="324">
        <f t="shared" si="4"/>
        <v>0</v>
      </c>
      <c r="I21" s="324">
        <f t="shared" si="5"/>
        <v>0</v>
      </c>
      <c r="J21" s="324">
        <v>0.05</v>
      </c>
      <c r="K21" s="324">
        <f t="shared" si="15"/>
        <v>0</v>
      </c>
      <c r="L21" s="324">
        <f t="shared" si="7"/>
        <v>0</v>
      </c>
      <c r="M21" s="324">
        <f t="shared" si="8"/>
        <v>0</v>
      </c>
      <c r="N21" s="324">
        <f t="shared" si="9"/>
        <v>0</v>
      </c>
      <c r="O21" s="324">
        <v>0.25</v>
      </c>
      <c r="P21" s="324">
        <f t="shared" si="16"/>
        <v>0</v>
      </c>
      <c r="Q21" s="324">
        <f t="shared" si="11"/>
        <v>0</v>
      </c>
      <c r="R21" s="324">
        <f t="shared" si="12"/>
        <v>0</v>
      </c>
      <c r="S21" s="324">
        <f t="shared" si="13"/>
        <v>0</v>
      </c>
      <c r="U21" s="371">
        <f t="shared" si="0"/>
        <v>8</v>
      </c>
      <c r="V21" s="375">
        <f>'ORÇAMENTO GERAL'!$J$100</f>
        <v>5.72</v>
      </c>
      <c r="W21" s="375">
        <f>'ORÇAMENTO GERAL'!$J$101</f>
        <v>2.66</v>
      </c>
      <c r="X21" s="375">
        <f>'ORÇAMENTO GERAL'!$J$102</f>
        <v>7.85</v>
      </c>
      <c r="Y21" s="375">
        <f>'ORÇAMENTO GERAL'!$J$103</f>
        <v>3.42</v>
      </c>
      <c r="Z21" s="375">
        <f>'ORÇAMENTO GERAL'!$J$106</f>
        <v>265.60000000000002</v>
      </c>
      <c r="AA21" s="375">
        <f>'ORÇAMENTO GERAL'!$J$107</f>
        <v>7.85</v>
      </c>
      <c r="AB21" s="375">
        <f>'ORÇAMENTO GERAL'!$J$108</f>
        <v>1.72</v>
      </c>
      <c r="AC21" s="375">
        <f>'ORÇAMENTO GERAL'!$J$109</f>
        <v>2.29</v>
      </c>
      <c r="AD21" s="375">
        <f>'ORÇAMENTO GERAL'!$J$110</f>
        <v>104.84</v>
      </c>
      <c r="AE21" s="375">
        <f>'ORÇAMENTO GERAL'!$J$111</f>
        <v>7.85</v>
      </c>
      <c r="AF21" s="375">
        <f>'ORÇAMENTO GERAL'!$J$112</f>
        <v>1.72</v>
      </c>
      <c r="AG21" s="375">
        <f>'ORÇAMENTO GERAL'!$J$113</f>
        <v>2.33</v>
      </c>
      <c r="AH21" s="374">
        <f t="shared" si="1"/>
        <v>0</v>
      </c>
    </row>
    <row r="22" spans="1:34" s="322" customFormat="1" ht="54.95" hidden="1" customHeight="1" x14ac:dyDescent="0.2">
      <c r="A22" s="337">
        <f>DADOS!A17</f>
        <v>9</v>
      </c>
      <c r="B22" s="338">
        <f>DADOS!B17</f>
        <v>0</v>
      </c>
      <c r="C22" s="339">
        <f>DADOS!E17</f>
        <v>0</v>
      </c>
      <c r="D22" s="324">
        <f>DADOS!F17</f>
        <v>0</v>
      </c>
      <c r="E22" s="324">
        <f t="shared" si="14"/>
        <v>0</v>
      </c>
      <c r="F22" s="324">
        <v>0.3</v>
      </c>
      <c r="G22" s="324">
        <f t="shared" si="3"/>
        <v>0</v>
      </c>
      <c r="H22" s="324">
        <f t="shared" si="4"/>
        <v>0</v>
      </c>
      <c r="I22" s="324">
        <f t="shared" si="5"/>
        <v>0</v>
      </c>
      <c r="J22" s="324">
        <v>0.05</v>
      </c>
      <c r="K22" s="324">
        <f t="shared" si="15"/>
        <v>0</v>
      </c>
      <c r="L22" s="324">
        <f t="shared" si="7"/>
        <v>0</v>
      </c>
      <c r="M22" s="324">
        <f t="shared" si="8"/>
        <v>0</v>
      </c>
      <c r="N22" s="324">
        <f t="shared" si="9"/>
        <v>0</v>
      </c>
      <c r="O22" s="324">
        <v>0.25</v>
      </c>
      <c r="P22" s="324">
        <f t="shared" si="16"/>
        <v>0</v>
      </c>
      <c r="Q22" s="324">
        <f t="shared" si="11"/>
        <v>0</v>
      </c>
      <c r="R22" s="324">
        <f t="shared" si="12"/>
        <v>0</v>
      </c>
      <c r="S22" s="324">
        <f t="shared" si="13"/>
        <v>0</v>
      </c>
      <c r="U22" s="371">
        <f t="shared" si="0"/>
        <v>9</v>
      </c>
      <c r="V22" s="375">
        <f>'ORÇAMENTO GERAL'!$J$100</f>
        <v>5.72</v>
      </c>
      <c r="W22" s="375">
        <f>'ORÇAMENTO GERAL'!$J$101</f>
        <v>2.66</v>
      </c>
      <c r="X22" s="375">
        <f>'ORÇAMENTO GERAL'!$J$102</f>
        <v>7.85</v>
      </c>
      <c r="Y22" s="375">
        <f>'ORÇAMENTO GERAL'!$J$103</f>
        <v>3.42</v>
      </c>
      <c r="Z22" s="375">
        <f>'ORÇAMENTO GERAL'!$J$106</f>
        <v>265.60000000000002</v>
      </c>
      <c r="AA22" s="375">
        <f>'ORÇAMENTO GERAL'!$J$107</f>
        <v>7.85</v>
      </c>
      <c r="AB22" s="375">
        <f>'ORÇAMENTO GERAL'!$J$108</f>
        <v>1.72</v>
      </c>
      <c r="AC22" s="375">
        <f>'ORÇAMENTO GERAL'!$J$109</f>
        <v>2.29</v>
      </c>
      <c r="AD22" s="375">
        <f>'ORÇAMENTO GERAL'!$J$110</f>
        <v>104.84</v>
      </c>
      <c r="AE22" s="375">
        <f>'ORÇAMENTO GERAL'!$J$111</f>
        <v>7.85</v>
      </c>
      <c r="AF22" s="375">
        <f>'ORÇAMENTO GERAL'!$J$112</f>
        <v>1.72</v>
      </c>
      <c r="AG22" s="375">
        <f>'ORÇAMENTO GERAL'!$J$113</f>
        <v>2.33</v>
      </c>
      <c r="AH22" s="374">
        <f t="shared" si="1"/>
        <v>0</v>
      </c>
    </row>
    <row r="23" spans="1:34" s="322" customFormat="1" ht="54.95" hidden="1" customHeight="1" x14ac:dyDescent="0.2">
      <c r="A23" s="337">
        <v>10</v>
      </c>
      <c r="B23" s="338">
        <f>DADOS!B18</f>
        <v>0</v>
      </c>
      <c r="C23" s="339">
        <f>DADOS!E18</f>
        <v>0</v>
      </c>
      <c r="D23" s="324">
        <f>DADOS!F18</f>
        <v>0</v>
      </c>
      <c r="E23" s="324">
        <f t="shared" si="14"/>
        <v>0</v>
      </c>
      <c r="F23" s="324">
        <v>0.3</v>
      </c>
      <c r="G23" s="324">
        <f t="shared" si="3"/>
        <v>0</v>
      </c>
      <c r="H23" s="324">
        <f t="shared" si="4"/>
        <v>0</v>
      </c>
      <c r="I23" s="324">
        <f t="shared" si="5"/>
        <v>0</v>
      </c>
      <c r="J23" s="324">
        <v>0.05</v>
      </c>
      <c r="K23" s="324">
        <f t="shared" si="15"/>
        <v>0</v>
      </c>
      <c r="L23" s="324">
        <f t="shared" si="7"/>
        <v>0</v>
      </c>
      <c r="M23" s="324">
        <f t="shared" si="8"/>
        <v>0</v>
      </c>
      <c r="N23" s="324">
        <f t="shared" si="9"/>
        <v>0</v>
      </c>
      <c r="O23" s="324">
        <v>0.25</v>
      </c>
      <c r="P23" s="324">
        <f t="shared" si="16"/>
        <v>0</v>
      </c>
      <c r="Q23" s="324">
        <f t="shared" si="11"/>
        <v>0</v>
      </c>
      <c r="R23" s="324">
        <f t="shared" si="12"/>
        <v>0</v>
      </c>
      <c r="S23" s="324">
        <f t="shared" si="13"/>
        <v>0</v>
      </c>
      <c r="U23" s="371">
        <f t="shared" si="0"/>
        <v>10</v>
      </c>
      <c r="V23" s="375">
        <f>'ORÇAMENTO GERAL'!$J$100</f>
        <v>5.72</v>
      </c>
      <c r="W23" s="375">
        <f>'ORÇAMENTO GERAL'!$J$101</f>
        <v>2.66</v>
      </c>
      <c r="X23" s="375">
        <f>'ORÇAMENTO GERAL'!$J$102</f>
        <v>7.85</v>
      </c>
      <c r="Y23" s="375">
        <f>'ORÇAMENTO GERAL'!$J$103</f>
        <v>3.42</v>
      </c>
      <c r="Z23" s="375">
        <f>'ORÇAMENTO GERAL'!$J$106</f>
        <v>265.60000000000002</v>
      </c>
      <c r="AA23" s="375">
        <f>'ORÇAMENTO GERAL'!$J$107</f>
        <v>7.85</v>
      </c>
      <c r="AB23" s="375">
        <f>'ORÇAMENTO GERAL'!$J$108</f>
        <v>1.72</v>
      </c>
      <c r="AC23" s="375">
        <f>'ORÇAMENTO GERAL'!$J$109</f>
        <v>2.29</v>
      </c>
      <c r="AD23" s="375">
        <f>'ORÇAMENTO GERAL'!$J$110</f>
        <v>104.84</v>
      </c>
      <c r="AE23" s="375">
        <f>'ORÇAMENTO GERAL'!$J$111</f>
        <v>7.85</v>
      </c>
      <c r="AF23" s="375">
        <f>'ORÇAMENTO GERAL'!$J$112</f>
        <v>1.72</v>
      </c>
      <c r="AG23" s="375">
        <f>'ORÇAMENTO GERAL'!$J$113</f>
        <v>2.33</v>
      </c>
      <c r="AH23" s="374">
        <f t="shared" si="1"/>
        <v>0</v>
      </c>
    </row>
    <row r="24" spans="1:34" s="322" customFormat="1" ht="54.95" hidden="1" customHeight="1" x14ac:dyDescent="0.2">
      <c r="A24" s="337">
        <f>DADOS!A19</f>
        <v>11</v>
      </c>
      <c r="B24" s="338">
        <f>DADOS!B19</f>
        <v>0</v>
      </c>
      <c r="C24" s="339">
        <f>DADOS!E19</f>
        <v>0</v>
      </c>
      <c r="D24" s="324">
        <f>DADOS!F19</f>
        <v>0</v>
      </c>
      <c r="E24" s="324">
        <f t="shared" si="14"/>
        <v>0</v>
      </c>
      <c r="F24" s="324">
        <v>0.3</v>
      </c>
      <c r="G24" s="324">
        <f t="shared" si="3"/>
        <v>0</v>
      </c>
      <c r="H24" s="324">
        <f t="shared" si="4"/>
        <v>0</v>
      </c>
      <c r="I24" s="324">
        <f t="shared" si="5"/>
        <v>0</v>
      </c>
      <c r="J24" s="324">
        <v>0.05</v>
      </c>
      <c r="K24" s="324">
        <f t="shared" si="15"/>
        <v>0</v>
      </c>
      <c r="L24" s="324">
        <f t="shared" si="7"/>
        <v>0</v>
      </c>
      <c r="M24" s="324">
        <f t="shared" si="8"/>
        <v>0</v>
      </c>
      <c r="N24" s="324">
        <f t="shared" si="9"/>
        <v>0</v>
      </c>
      <c r="O24" s="324">
        <v>0.25</v>
      </c>
      <c r="P24" s="324">
        <f t="shared" si="16"/>
        <v>0</v>
      </c>
      <c r="Q24" s="324">
        <f t="shared" si="11"/>
        <v>0</v>
      </c>
      <c r="R24" s="324">
        <f t="shared" si="12"/>
        <v>0</v>
      </c>
      <c r="S24" s="324">
        <f t="shared" si="13"/>
        <v>0</v>
      </c>
      <c r="U24" s="371">
        <f t="shared" si="0"/>
        <v>11</v>
      </c>
      <c r="V24" s="375">
        <f>'ORÇAMENTO GERAL'!$J$100</f>
        <v>5.72</v>
      </c>
      <c r="W24" s="375">
        <f>'ORÇAMENTO GERAL'!$J$101</f>
        <v>2.66</v>
      </c>
      <c r="X24" s="375">
        <f>'ORÇAMENTO GERAL'!$J$102</f>
        <v>7.85</v>
      </c>
      <c r="Y24" s="375">
        <f>'ORÇAMENTO GERAL'!$J$103</f>
        <v>3.42</v>
      </c>
      <c r="Z24" s="375">
        <f>'ORÇAMENTO GERAL'!$J$106</f>
        <v>265.60000000000002</v>
      </c>
      <c r="AA24" s="375">
        <f>'ORÇAMENTO GERAL'!$J$107</f>
        <v>7.85</v>
      </c>
      <c r="AB24" s="375">
        <f>'ORÇAMENTO GERAL'!$J$108</f>
        <v>1.72</v>
      </c>
      <c r="AC24" s="375">
        <f>'ORÇAMENTO GERAL'!$J$109</f>
        <v>2.29</v>
      </c>
      <c r="AD24" s="375">
        <f>'ORÇAMENTO GERAL'!$J$110</f>
        <v>104.84</v>
      </c>
      <c r="AE24" s="375">
        <f>'ORÇAMENTO GERAL'!$J$111</f>
        <v>7.85</v>
      </c>
      <c r="AF24" s="375">
        <f>'ORÇAMENTO GERAL'!$J$112</f>
        <v>1.72</v>
      </c>
      <c r="AG24" s="375">
        <f>'ORÇAMENTO GERAL'!$J$113</f>
        <v>2.33</v>
      </c>
      <c r="AH24" s="374">
        <f t="shared" si="1"/>
        <v>0</v>
      </c>
    </row>
    <row r="25" spans="1:34" s="322" customFormat="1" ht="54.95" hidden="1" customHeight="1" x14ac:dyDescent="0.2">
      <c r="A25" s="337">
        <v>12</v>
      </c>
      <c r="B25" s="338">
        <f>DADOS!B20</f>
        <v>0</v>
      </c>
      <c r="C25" s="339">
        <f>DADOS!E23</f>
        <v>0</v>
      </c>
      <c r="D25" s="324">
        <f>DADOS!F23</f>
        <v>0</v>
      </c>
      <c r="E25" s="324">
        <f t="shared" si="14"/>
        <v>0</v>
      </c>
      <c r="F25" s="324">
        <v>0.3</v>
      </c>
      <c r="G25" s="324">
        <f t="shared" si="3"/>
        <v>0</v>
      </c>
      <c r="H25" s="324">
        <f t="shared" si="4"/>
        <v>0</v>
      </c>
      <c r="I25" s="324">
        <f t="shared" si="5"/>
        <v>0</v>
      </c>
      <c r="J25" s="324">
        <v>0.1</v>
      </c>
      <c r="K25" s="324">
        <f t="shared" si="15"/>
        <v>0</v>
      </c>
      <c r="L25" s="324">
        <f t="shared" si="7"/>
        <v>0</v>
      </c>
      <c r="M25" s="324">
        <f t="shared" si="8"/>
        <v>0</v>
      </c>
      <c r="N25" s="324">
        <f t="shared" si="9"/>
        <v>0</v>
      </c>
      <c r="O25" s="324">
        <v>0.1</v>
      </c>
      <c r="P25" s="324">
        <f t="shared" si="16"/>
        <v>0</v>
      </c>
      <c r="Q25" s="324">
        <f t="shared" si="11"/>
        <v>0</v>
      </c>
      <c r="R25" s="324">
        <f t="shared" si="12"/>
        <v>0</v>
      </c>
      <c r="S25" s="324">
        <f t="shared" si="13"/>
        <v>0</v>
      </c>
      <c r="U25" s="371">
        <f t="shared" si="0"/>
        <v>12</v>
      </c>
      <c r="V25" s="375">
        <f>'ORÇAMENTO GERAL'!$J$100</f>
        <v>5.72</v>
      </c>
      <c r="W25" s="375">
        <f>'ORÇAMENTO GERAL'!$J$101</f>
        <v>2.66</v>
      </c>
      <c r="X25" s="375">
        <f>'ORÇAMENTO GERAL'!$J$102</f>
        <v>7.85</v>
      </c>
      <c r="Y25" s="375">
        <f>'ORÇAMENTO GERAL'!$J$103</f>
        <v>3.42</v>
      </c>
      <c r="Z25" s="375">
        <f>'ORÇAMENTO GERAL'!$J$106</f>
        <v>265.60000000000002</v>
      </c>
      <c r="AA25" s="375">
        <f>'ORÇAMENTO GERAL'!$J$107</f>
        <v>7.85</v>
      </c>
      <c r="AB25" s="375">
        <f>'ORÇAMENTO GERAL'!$J$108</f>
        <v>1.72</v>
      </c>
      <c r="AC25" s="375">
        <f>'ORÇAMENTO GERAL'!$J$109</f>
        <v>2.29</v>
      </c>
      <c r="AD25" s="375">
        <f>'ORÇAMENTO GERAL'!$J$110</f>
        <v>104.84</v>
      </c>
      <c r="AE25" s="375">
        <f>'ORÇAMENTO GERAL'!$J$111</f>
        <v>7.85</v>
      </c>
      <c r="AF25" s="375">
        <f>'ORÇAMENTO GERAL'!$J$112</f>
        <v>1.72</v>
      </c>
      <c r="AG25" s="375">
        <f>'ORÇAMENTO GERAL'!$J$113</f>
        <v>2.33</v>
      </c>
      <c r="AH25" s="374">
        <f t="shared" si="1"/>
        <v>0</v>
      </c>
    </row>
    <row r="26" spans="1:34" s="322" customFormat="1" ht="54.95" hidden="1" customHeight="1" x14ac:dyDescent="0.2">
      <c r="A26" s="337">
        <f>DADOS!A21</f>
        <v>13</v>
      </c>
      <c r="B26" s="338">
        <f>DADOS!B21</f>
        <v>0</v>
      </c>
      <c r="C26" s="339">
        <f>DADOS!E24</f>
        <v>0</v>
      </c>
      <c r="D26" s="324">
        <f>DADOS!F24</f>
        <v>0</v>
      </c>
      <c r="E26" s="324">
        <f t="shared" si="14"/>
        <v>0</v>
      </c>
      <c r="F26" s="324">
        <v>0.3</v>
      </c>
      <c r="G26" s="324">
        <f t="shared" si="3"/>
        <v>0</v>
      </c>
      <c r="H26" s="324">
        <f t="shared" si="4"/>
        <v>0</v>
      </c>
      <c r="I26" s="324">
        <f t="shared" si="5"/>
        <v>0</v>
      </c>
      <c r="J26" s="324">
        <v>0.1</v>
      </c>
      <c r="K26" s="324">
        <f t="shared" si="15"/>
        <v>0</v>
      </c>
      <c r="L26" s="324">
        <f t="shared" si="7"/>
        <v>0</v>
      </c>
      <c r="M26" s="324">
        <f t="shared" si="8"/>
        <v>0</v>
      </c>
      <c r="N26" s="324">
        <f t="shared" si="9"/>
        <v>0</v>
      </c>
      <c r="O26" s="324">
        <v>0.1</v>
      </c>
      <c r="P26" s="324">
        <f t="shared" si="16"/>
        <v>0</v>
      </c>
      <c r="Q26" s="324">
        <f t="shared" si="11"/>
        <v>0</v>
      </c>
      <c r="R26" s="324">
        <f t="shared" si="12"/>
        <v>0</v>
      </c>
      <c r="S26" s="324">
        <f t="shared" si="13"/>
        <v>0</v>
      </c>
      <c r="U26" s="371">
        <f t="shared" si="0"/>
        <v>13</v>
      </c>
      <c r="V26" s="375">
        <f>'ORÇAMENTO GERAL'!$J$100</f>
        <v>5.72</v>
      </c>
      <c r="W26" s="375">
        <f>'ORÇAMENTO GERAL'!$J$101</f>
        <v>2.66</v>
      </c>
      <c r="X26" s="375">
        <f>'ORÇAMENTO GERAL'!$J$102</f>
        <v>7.85</v>
      </c>
      <c r="Y26" s="375">
        <f>'ORÇAMENTO GERAL'!$J$103</f>
        <v>3.42</v>
      </c>
      <c r="Z26" s="375">
        <f>'ORÇAMENTO GERAL'!$J$106</f>
        <v>265.60000000000002</v>
      </c>
      <c r="AA26" s="375">
        <f>'ORÇAMENTO GERAL'!$J$107</f>
        <v>7.85</v>
      </c>
      <c r="AB26" s="375">
        <f>'ORÇAMENTO GERAL'!$J$108</f>
        <v>1.72</v>
      </c>
      <c r="AC26" s="375">
        <f>'ORÇAMENTO GERAL'!$J$109</f>
        <v>2.29</v>
      </c>
      <c r="AD26" s="375">
        <f>'ORÇAMENTO GERAL'!$J$110</f>
        <v>104.84</v>
      </c>
      <c r="AE26" s="375">
        <f>'ORÇAMENTO GERAL'!$J$111</f>
        <v>7.85</v>
      </c>
      <c r="AF26" s="375">
        <f>'ORÇAMENTO GERAL'!$J$112</f>
        <v>1.72</v>
      </c>
      <c r="AG26" s="375">
        <f>'ORÇAMENTO GERAL'!$J$113</f>
        <v>2.33</v>
      </c>
      <c r="AH26" s="374">
        <f t="shared" si="1"/>
        <v>0</v>
      </c>
    </row>
    <row r="27" spans="1:34" ht="54.95" hidden="1" customHeight="1" x14ac:dyDescent="0.2">
      <c r="A27" s="337">
        <v>14</v>
      </c>
      <c r="B27" s="338">
        <f>DADOS!B22</f>
        <v>0</v>
      </c>
      <c r="C27" s="339">
        <f>DADOS!E25</f>
        <v>0</v>
      </c>
      <c r="D27" s="324">
        <f>DADOS!F25</f>
        <v>0</v>
      </c>
      <c r="E27" s="324">
        <f t="shared" si="14"/>
        <v>0</v>
      </c>
      <c r="F27" s="324">
        <v>0.3</v>
      </c>
      <c r="G27" s="324">
        <f t="shared" si="3"/>
        <v>0</v>
      </c>
      <c r="H27" s="324">
        <f t="shared" si="4"/>
        <v>0</v>
      </c>
      <c r="I27" s="324">
        <f t="shared" si="5"/>
        <v>0</v>
      </c>
      <c r="J27" s="324">
        <v>0.1</v>
      </c>
      <c r="K27" s="324">
        <f t="shared" si="15"/>
        <v>0</v>
      </c>
      <c r="L27" s="324">
        <f t="shared" si="7"/>
        <v>0</v>
      </c>
      <c r="M27" s="324">
        <f t="shared" si="8"/>
        <v>0</v>
      </c>
      <c r="N27" s="324">
        <f t="shared" si="9"/>
        <v>0</v>
      </c>
      <c r="O27" s="324">
        <v>0.1</v>
      </c>
      <c r="P27" s="324">
        <f t="shared" si="16"/>
        <v>0</v>
      </c>
      <c r="Q27" s="324">
        <f t="shared" si="11"/>
        <v>0</v>
      </c>
      <c r="R27" s="324">
        <f t="shared" si="12"/>
        <v>0</v>
      </c>
      <c r="S27" s="324">
        <f t="shared" si="13"/>
        <v>0</v>
      </c>
      <c r="U27" s="371">
        <f t="shared" si="0"/>
        <v>14</v>
      </c>
      <c r="V27" s="375">
        <f>'ORÇAMENTO GERAL'!$J$100</f>
        <v>5.72</v>
      </c>
      <c r="W27" s="375">
        <f>'ORÇAMENTO GERAL'!$J$101</f>
        <v>2.66</v>
      </c>
      <c r="X27" s="375">
        <f>'ORÇAMENTO GERAL'!$J$102</f>
        <v>7.85</v>
      </c>
      <c r="Y27" s="375">
        <f>'ORÇAMENTO GERAL'!$J$103</f>
        <v>3.42</v>
      </c>
      <c r="Z27" s="375">
        <f>'ORÇAMENTO GERAL'!$J$106</f>
        <v>265.60000000000002</v>
      </c>
      <c r="AA27" s="375">
        <f>'ORÇAMENTO GERAL'!$J$107</f>
        <v>7.85</v>
      </c>
      <c r="AB27" s="375">
        <f>'ORÇAMENTO GERAL'!$J$108</f>
        <v>1.72</v>
      </c>
      <c r="AC27" s="375">
        <f>'ORÇAMENTO GERAL'!$J$109</f>
        <v>2.29</v>
      </c>
      <c r="AD27" s="375">
        <f>'ORÇAMENTO GERAL'!$J$110</f>
        <v>104.84</v>
      </c>
      <c r="AE27" s="375">
        <f>'ORÇAMENTO GERAL'!$J$111</f>
        <v>7.85</v>
      </c>
      <c r="AF27" s="375">
        <f>'ORÇAMENTO GERAL'!$J$112</f>
        <v>1.72</v>
      </c>
      <c r="AG27" s="375">
        <f>'ORÇAMENTO GERAL'!$J$113</f>
        <v>2.33</v>
      </c>
      <c r="AH27" s="374">
        <f t="shared" si="1"/>
        <v>0</v>
      </c>
    </row>
    <row r="28" spans="1:34" ht="54.95" hidden="1" customHeight="1" x14ac:dyDescent="0.2">
      <c r="A28" s="337">
        <f>DADOS!A23</f>
        <v>15</v>
      </c>
      <c r="B28" s="338">
        <f>DADOS!B26</f>
        <v>0</v>
      </c>
      <c r="C28" s="339">
        <f>DADOS!E26</f>
        <v>0</v>
      </c>
      <c r="D28" s="324">
        <f>DADOS!F26</f>
        <v>0</v>
      </c>
      <c r="E28" s="324">
        <f t="shared" si="14"/>
        <v>0</v>
      </c>
      <c r="F28" s="324">
        <v>0.3</v>
      </c>
      <c r="G28" s="324">
        <f t="shared" si="3"/>
        <v>0</v>
      </c>
      <c r="H28" s="324">
        <f t="shared" si="4"/>
        <v>0</v>
      </c>
      <c r="I28" s="324">
        <f t="shared" si="5"/>
        <v>0</v>
      </c>
      <c r="J28" s="324">
        <v>0.1</v>
      </c>
      <c r="K28" s="324">
        <f t="shared" si="15"/>
        <v>0</v>
      </c>
      <c r="L28" s="324">
        <f t="shared" si="7"/>
        <v>0</v>
      </c>
      <c r="M28" s="324">
        <f t="shared" si="8"/>
        <v>0</v>
      </c>
      <c r="N28" s="324">
        <f t="shared" si="9"/>
        <v>0</v>
      </c>
      <c r="O28" s="324">
        <v>0.1</v>
      </c>
      <c r="P28" s="324">
        <f t="shared" si="16"/>
        <v>0</v>
      </c>
      <c r="Q28" s="324">
        <f t="shared" si="11"/>
        <v>0</v>
      </c>
      <c r="R28" s="324">
        <f t="shared" si="12"/>
        <v>0</v>
      </c>
      <c r="S28" s="324">
        <f t="shared" si="13"/>
        <v>0</v>
      </c>
      <c r="U28" s="371">
        <f t="shared" si="0"/>
        <v>15</v>
      </c>
      <c r="V28" s="375">
        <f>'ORÇAMENTO GERAL'!$J$100</f>
        <v>5.72</v>
      </c>
      <c r="W28" s="375">
        <f>'ORÇAMENTO GERAL'!$J$101</f>
        <v>2.66</v>
      </c>
      <c r="X28" s="375">
        <f>'ORÇAMENTO GERAL'!$J$102</f>
        <v>7.85</v>
      </c>
      <c r="Y28" s="375">
        <f>'ORÇAMENTO GERAL'!$J$103</f>
        <v>3.42</v>
      </c>
      <c r="Z28" s="375">
        <f>'ORÇAMENTO GERAL'!$J$106</f>
        <v>265.60000000000002</v>
      </c>
      <c r="AA28" s="375">
        <f>'ORÇAMENTO GERAL'!$J$107</f>
        <v>7.85</v>
      </c>
      <c r="AB28" s="375">
        <f>'ORÇAMENTO GERAL'!$J$108</f>
        <v>1.72</v>
      </c>
      <c r="AC28" s="375">
        <f>'ORÇAMENTO GERAL'!$J$109</f>
        <v>2.29</v>
      </c>
      <c r="AD28" s="375">
        <f>'ORÇAMENTO GERAL'!$J$110</f>
        <v>104.84</v>
      </c>
      <c r="AE28" s="375">
        <f>'ORÇAMENTO GERAL'!$J$111</f>
        <v>7.85</v>
      </c>
      <c r="AF28" s="375">
        <f>'ORÇAMENTO GERAL'!$J$112</f>
        <v>1.72</v>
      </c>
      <c r="AG28" s="375">
        <f>'ORÇAMENTO GERAL'!$J$113</f>
        <v>2.33</v>
      </c>
      <c r="AH28" s="374">
        <f t="shared" si="1"/>
        <v>0</v>
      </c>
    </row>
    <row r="29" spans="1:34" ht="54.95" hidden="1" customHeight="1" x14ac:dyDescent="0.2">
      <c r="A29" s="337">
        <v>16</v>
      </c>
      <c r="B29" s="338">
        <f>DADOS!B27</f>
        <v>0</v>
      </c>
      <c r="C29" s="339">
        <f>DADOS!E27</f>
        <v>0</v>
      </c>
      <c r="D29" s="324">
        <f>DADOS!F27</f>
        <v>0</v>
      </c>
      <c r="E29" s="324">
        <f t="shared" si="14"/>
        <v>0</v>
      </c>
      <c r="F29" s="324">
        <v>0.3</v>
      </c>
      <c r="G29" s="324">
        <f t="shared" si="3"/>
        <v>0</v>
      </c>
      <c r="H29" s="324">
        <f t="shared" si="4"/>
        <v>0</v>
      </c>
      <c r="I29" s="324">
        <f t="shared" si="5"/>
        <v>0</v>
      </c>
      <c r="J29" s="324">
        <v>0.1</v>
      </c>
      <c r="K29" s="324">
        <f t="shared" si="15"/>
        <v>0</v>
      </c>
      <c r="L29" s="324">
        <f t="shared" si="7"/>
        <v>0</v>
      </c>
      <c r="M29" s="324">
        <f t="shared" si="8"/>
        <v>0</v>
      </c>
      <c r="N29" s="324">
        <f t="shared" si="9"/>
        <v>0</v>
      </c>
      <c r="O29" s="324">
        <v>0.1</v>
      </c>
      <c r="P29" s="324">
        <f t="shared" si="16"/>
        <v>0</v>
      </c>
      <c r="Q29" s="324">
        <f t="shared" si="11"/>
        <v>0</v>
      </c>
      <c r="R29" s="324">
        <f t="shared" si="12"/>
        <v>0</v>
      </c>
      <c r="S29" s="324">
        <f t="shared" si="13"/>
        <v>0</v>
      </c>
      <c r="U29" s="371">
        <f t="shared" si="0"/>
        <v>16</v>
      </c>
      <c r="V29" s="375">
        <f>'ORÇAMENTO GERAL'!$J$100</f>
        <v>5.72</v>
      </c>
      <c r="W29" s="375">
        <f>'ORÇAMENTO GERAL'!$J$101</f>
        <v>2.66</v>
      </c>
      <c r="X29" s="375">
        <f>'ORÇAMENTO GERAL'!$J$102</f>
        <v>7.85</v>
      </c>
      <c r="Y29" s="375">
        <f>'ORÇAMENTO GERAL'!$J$103</f>
        <v>3.42</v>
      </c>
      <c r="Z29" s="375">
        <f>'ORÇAMENTO GERAL'!$J$106</f>
        <v>265.60000000000002</v>
      </c>
      <c r="AA29" s="375">
        <f>'ORÇAMENTO GERAL'!$J$107</f>
        <v>7.85</v>
      </c>
      <c r="AB29" s="375">
        <f>'ORÇAMENTO GERAL'!$J$108</f>
        <v>1.72</v>
      </c>
      <c r="AC29" s="375">
        <f>'ORÇAMENTO GERAL'!$J$109</f>
        <v>2.29</v>
      </c>
      <c r="AD29" s="375">
        <f>'ORÇAMENTO GERAL'!$J$110</f>
        <v>104.84</v>
      </c>
      <c r="AE29" s="375">
        <f>'ORÇAMENTO GERAL'!$J$111</f>
        <v>7.85</v>
      </c>
      <c r="AF29" s="375">
        <f>'ORÇAMENTO GERAL'!$J$112</f>
        <v>1.72</v>
      </c>
      <c r="AG29" s="375">
        <f>'ORÇAMENTO GERAL'!$J$113</f>
        <v>2.33</v>
      </c>
      <c r="AH29" s="374">
        <f t="shared" si="1"/>
        <v>0</v>
      </c>
    </row>
    <row r="30" spans="1:34" ht="54.95" hidden="1" customHeight="1" thickBot="1" x14ac:dyDescent="0.25">
      <c r="A30" s="337">
        <f>DADOS!A25</f>
        <v>17</v>
      </c>
      <c r="B30" s="338">
        <f>DADOS!B28</f>
        <v>0</v>
      </c>
      <c r="C30" s="339">
        <f>DADOS!E28</f>
        <v>0</v>
      </c>
      <c r="D30" s="324">
        <f>DADOS!F28</f>
        <v>0</v>
      </c>
      <c r="E30" s="324">
        <f t="shared" si="14"/>
        <v>0</v>
      </c>
      <c r="F30" s="324">
        <v>0.3</v>
      </c>
      <c r="G30" s="324">
        <f t="shared" si="3"/>
        <v>0</v>
      </c>
      <c r="H30" s="324">
        <f t="shared" si="4"/>
        <v>0</v>
      </c>
      <c r="I30" s="324">
        <f t="shared" si="5"/>
        <v>0</v>
      </c>
      <c r="J30" s="324">
        <v>0.1</v>
      </c>
      <c r="K30" s="324">
        <f t="shared" si="15"/>
        <v>0</v>
      </c>
      <c r="L30" s="324">
        <f t="shared" si="7"/>
        <v>0</v>
      </c>
      <c r="M30" s="324">
        <f t="shared" si="8"/>
        <v>0</v>
      </c>
      <c r="N30" s="324">
        <f t="shared" si="9"/>
        <v>0</v>
      </c>
      <c r="O30" s="324">
        <v>0.1</v>
      </c>
      <c r="P30" s="324">
        <f t="shared" si="16"/>
        <v>0</v>
      </c>
      <c r="Q30" s="324">
        <f t="shared" si="11"/>
        <v>0</v>
      </c>
      <c r="R30" s="324">
        <f t="shared" si="12"/>
        <v>0</v>
      </c>
      <c r="S30" s="324">
        <f t="shared" si="13"/>
        <v>0</v>
      </c>
      <c r="U30" s="371">
        <f t="shared" si="0"/>
        <v>17</v>
      </c>
      <c r="V30" s="375">
        <f>'ORÇAMENTO GERAL'!$J$100</f>
        <v>5.72</v>
      </c>
      <c r="W30" s="375">
        <f>'ORÇAMENTO GERAL'!$J$101</f>
        <v>2.66</v>
      </c>
      <c r="X30" s="375">
        <f>'ORÇAMENTO GERAL'!$J$102</f>
        <v>7.85</v>
      </c>
      <c r="Y30" s="375">
        <f>'ORÇAMENTO GERAL'!$J$103</f>
        <v>3.42</v>
      </c>
      <c r="Z30" s="375">
        <f>'ORÇAMENTO GERAL'!$J$106</f>
        <v>265.60000000000002</v>
      </c>
      <c r="AA30" s="375">
        <f>'ORÇAMENTO GERAL'!$J$107</f>
        <v>7.85</v>
      </c>
      <c r="AB30" s="375">
        <f>'ORÇAMENTO GERAL'!$J$108</f>
        <v>1.72</v>
      </c>
      <c r="AC30" s="375">
        <f>'ORÇAMENTO GERAL'!$J$109</f>
        <v>2.29</v>
      </c>
      <c r="AD30" s="375">
        <f>'ORÇAMENTO GERAL'!$J$110</f>
        <v>104.84</v>
      </c>
      <c r="AE30" s="375">
        <f>'ORÇAMENTO GERAL'!$J$111</f>
        <v>7.85</v>
      </c>
      <c r="AF30" s="375">
        <f>'ORÇAMENTO GERAL'!$J$112</f>
        <v>1.72</v>
      </c>
      <c r="AG30" s="375">
        <f>'ORÇAMENTO GERAL'!$J$113</f>
        <v>2.33</v>
      </c>
      <c r="AH30" s="374">
        <f t="shared" si="1"/>
        <v>0</v>
      </c>
    </row>
    <row r="31" spans="1:34" s="322" customFormat="1" ht="62.25" customHeight="1" thickBot="1" x14ac:dyDescent="0.25">
      <c r="A31" s="758" t="s">
        <v>397</v>
      </c>
      <c r="B31" s="759"/>
      <c r="C31" s="349">
        <f t="shared" ref="C31:R31" si="17">SUM(C14:C30)</f>
        <v>675</v>
      </c>
      <c r="D31" s="349"/>
      <c r="E31" s="349">
        <f t="shared" si="17"/>
        <v>0</v>
      </c>
      <c r="F31" s="349"/>
      <c r="G31" s="349">
        <f t="shared" si="17"/>
        <v>0</v>
      </c>
      <c r="H31" s="349">
        <f t="shared" si="17"/>
        <v>0</v>
      </c>
      <c r="I31" s="349">
        <f t="shared" si="17"/>
        <v>0</v>
      </c>
      <c r="J31" s="349"/>
      <c r="K31" s="349">
        <f t="shared" si="17"/>
        <v>0</v>
      </c>
      <c r="L31" s="349">
        <f t="shared" si="17"/>
        <v>0</v>
      </c>
      <c r="M31" s="349">
        <f t="shared" si="17"/>
        <v>0</v>
      </c>
      <c r="N31" s="349">
        <f t="shared" si="17"/>
        <v>0</v>
      </c>
      <c r="O31" s="349"/>
      <c r="P31" s="349">
        <f t="shared" si="17"/>
        <v>0</v>
      </c>
      <c r="Q31" s="349">
        <f t="shared" si="17"/>
        <v>0</v>
      </c>
      <c r="R31" s="349">
        <f t="shared" si="17"/>
        <v>0</v>
      </c>
      <c r="S31" s="349">
        <f>SUM(S14:S30)</f>
        <v>0</v>
      </c>
    </row>
    <row r="32" spans="1:34" s="322" customFormat="1" ht="20.100000000000001" customHeight="1" x14ac:dyDescent="0.2">
      <c r="A32" s="321"/>
      <c r="B32" s="323"/>
      <c r="C32" s="323"/>
      <c r="D32" s="323"/>
      <c r="E32" s="323"/>
      <c r="F32" s="323"/>
      <c r="G32" s="323"/>
      <c r="H32" s="323"/>
      <c r="I32" s="323"/>
      <c r="J32" s="323"/>
      <c r="K32" s="323"/>
      <c r="L32" s="323"/>
      <c r="M32" s="323"/>
      <c r="N32" s="323"/>
      <c r="O32" s="323"/>
      <c r="P32" s="323"/>
      <c r="Q32" s="323"/>
      <c r="R32" s="323"/>
      <c r="S32" s="323"/>
    </row>
    <row r="33" spans="1:19" s="322" customFormat="1" ht="20.100000000000001" customHeight="1" x14ac:dyDescent="0.2">
      <c r="A33" s="321"/>
      <c r="B33" s="323"/>
      <c r="C33" s="323"/>
      <c r="D33" s="323"/>
      <c r="E33" s="323"/>
      <c r="F33" s="323"/>
      <c r="G33" s="323"/>
      <c r="H33" s="323"/>
      <c r="I33" s="323"/>
      <c r="J33" s="323"/>
      <c r="K33" s="323"/>
      <c r="L33" s="323"/>
      <c r="M33" s="323"/>
      <c r="N33" s="323"/>
      <c r="O33" s="323"/>
      <c r="P33" s="323"/>
      <c r="Q33" s="323"/>
      <c r="R33" s="323"/>
      <c r="S33" s="323"/>
    </row>
    <row r="34" spans="1:19" s="322" customFormat="1" ht="20.100000000000001" customHeight="1" x14ac:dyDescent="0.2">
      <c r="A34" s="321"/>
      <c r="B34" s="323"/>
      <c r="C34" s="323"/>
      <c r="D34" s="323"/>
      <c r="E34" s="323"/>
      <c r="F34" s="323"/>
      <c r="G34" s="323"/>
      <c r="H34" s="323"/>
      <c r="I34" s="323"/>
      <c r="J34" s="323"/>
      <c r="K34" s="323"/>
      <c r="L34" s="323"/>
      <c r="M34" s="323"/>
      <c r="N34" s="323"/>
      <c r="O34" s="323"/>
      <c r="P34" s="323"/>
      <c r="Q34" s="323"/>
      <c r="R34" s="323"/>
      <c r="S34" s="323"/>
    </row>
    <row r="35" spans="1:19" s="322" customFormat="1" ht="20.100000000000001" customHeight="1" x14ac:dyDescent="0.2">
      <c r="A35" s="321"/>
      <c r="B35" s="323"/>
      <c r="C35" s="323"/>
      <c r="D35" s="323"/>
      <c r="E35" s="323"/>
      <c r="F35" s="323"/>
      <c r="G35" s="323"/>
      <c r="H35" s="323"/>
      <c r="I35" s="323"/>
      <c r="J35" s="323"/>
      <c r="K35" s="323"/>
      <c r="L35" s="323"/>
      <c r="M35" s="323"/>
      <c r="N35" s="323"/>
      <c r="O35" s="323"/>
      <c r="P35" s="323"/>
      <c r="Q35" s="323"/>
      <c r="R35" s="323"/>
      <c r="S35" s="323"/>
    </row>
    <row r="36" spans="1:19" s="322" customFormat="1" ht="20.100000000000001" customHeight="1" x14ac:dyDescent="0.2">
      <c r="A36" s="321"/>
      <c r="B36" s="323"/>
      <c r="C36" s="323"/>
      <c r="D36" s="323"/>
      <c r="E36" s="323"/>
      <c r="F36" s="323"/>
      <c r="G36" s="323"/>
      <c r="H36" s="323"/>
      <c r="I36" s="323"/>
      <c r="J36" s="323"/>
      <c r="K36" s="323"/>
      <c r="L36" s="323"/>
      <c r="M36" s="323"/>
      <c r="N36" s="323"/>
      <c r="O36" s="323"/>
      <c r="P36" s="323"/>
      <c r="Q36" s="323"/>
      <c r="R36" s="323"/>
      <c r="S36" s="323"/>
    </row>
    <row r="37" spans="1:19" s="322" customFormat="1" ht="20.100000000000001" customHeight="1" x14ac:dyDescent="0.2">
      <c r="A37" s="321"/>
      <c r="B37" s="323"/>
      <c r="C37" s="323"/>
      <c r="D37" s="323"/>
      <c r="E37" s="323"/>
      <c r="F37" s="323"/>
      <c r="G37" s="323"/>
      <c r="H37" s="323"/>
      <c r="I37" s="323"/>
      <c r="J37" s="323"/>
      <c r="K37" s="323"/>
      <c r="L37" s="323"/>
      <c r="M37" s="323"/>
      <c r="N37" s="323"/>
      <c r="O37" s="323"/>
      <c r="P37" s="323"/>
      <c r="Q37" s="323"/>
      <c r="R37" s="323"/>
      <c r="S37" s="323"/>
    </row>
    <row r="38" spans="1:19" s="322" customFormat="1" ht="20.100000000000001" customHeight="1" x14ac:dyDescent="0.2">
      <c r="A38" s="321"/>
      <c r="B38" s="323"/>
      <c r="C38" s="323"/>
      <c r="D38" s="323"/>
      <c r="E38" s="323"/>
      <c r="F38" s="323"/>
      <c r="G38" s="323"/>
      <c r="H38" s="323"/>
      <c r="I38" s="323"/>
      <c r="J38" s="323"/>
      <c r="K38" s="323"/>
      <c r="L38" s="323"/>
      <c r="M38" s="323"/>
      <c r="N38" s="323"/>
      <c r="O38" s="323"/>
      <c r="P38" s="323"/>
      <c r="Q38" s="323"/>
      <c r="R38" s="323"/>
      <c r="S38" s="323"/>
    </row>
    <row r="39" spans="1:19" s="322" customFormat="1" ht="20.100000000000001" customHeight="1" x14ac:dyDescent="0.2">
      <c r="A39" s="321"/>
      <c r="B39" s="323"/>
      <c r="C39" s="323"/>
      <c r="D39" s="323"/>
      <c r="E39" s="323"/>
      <c r="F39" s="323"/>
      <c r="G39" s="323"/>
      <c r="H39" s="323"/>
      <c r="I39" s="323"/>
      <c r="J39" s="323"/>
      <c r="K39" s="323"/>
      <c r="L39" s="323"/>
      <c r="M39" s="323"/>
      <c r="N39" s="323"/>
      <c r="O39" s="323"/>
      <c r="P39" s="323"/>
      <c r="Q39" s="323"/>
      <c r="R39" s="323"/>
      <c r="S39" s="323"/>
    </row>
    <row r="40" spans="1:19" s="322" customFormat="1" ht="20.100000000000001" customHeight="1" x14ac:dyDescent="0.2">
      <c r="A40" s="321"/>
      <c r="B40" s="323"/>
      <c r="C40" s="323"/>
      <c r="D40" s="323"/>
      <c r="E40" s="323"/>
      <c r="F40" s="323"/>
      <c r="G40" s="323"/>
      <c r="H40" s="323"/>
      <c r="I40" s="323"/>
      <c r="J40" s="323"/>
      <c r="K40" s="323"/>
      <c r="L40" s="323"/>
      <c r="M40" s="323"/>
      <c r="N40" s="323"/>
      <c r="O40" s="323"/>
      <c r="P40" s="323"/>
      <c r="Q40" s="323"/>
      <c r="R40" s="323"/>
      <c r="S40" s="323"/>
    </row>
    <row r="41" spans="1:19" s="322" customFormat="1" ht="20.100000000000001" customHeight="1" x14ac:dyDescent="0.2">
      <c r="A41" s="321"/>
      <c r="B41" s="323"/>
      <c r="C41" s="323"/>
      <c r="D41" s="323"/>
      <c r="E41" s="323"/>
      <c r="F41" s="323"/>
      <c r="G41" s="323"/>
      <c r="H41" s="323"/>
      <c r="I41" s="323"/>
      <c r="J41" s="323"/>
      <c r="K41" s="323"/>
      <c r="L41" s="323"/>
      <c r="M41" s="323"/>
      <c r="N41" s="323"/>
      <c r="O41" s="323"/>
      <c r="P41" s="323"/>
      <c r="Q41" s="323"/>
      <c r="R41" s="323"/>
      <c r="S41" s="323"/>
    </row>
    <row r="42" spans="1:19" s="322" customFormat="1" ht="20.100000000000001" customHeight="1" x14ac:dyDescent="0.2">
      <c r="A42" s="321"/>
      <c r="B42" s="323"/>
      <c r="C42" s="323"/>
      <c r="D42" s="323"/>
      <c r="E42" s="323"/>
      <c r="F42" s="323"/>
      <c r="G42" s="323"/>
      <c r="H42" s="323"/>
      <c r="I42" s="323"/>
      <c r="J42" s="323"/>
      <c r="K42" s="323"/>
      <c r="L42" s="323"/>
      <c r="M42" s="323"/>
      <c r="N42" s="323"/>
      <c r="O42" s="323"/>
      <c r="P42" s="323"/>
      <c r="Q42" s="323"/>
      <c r="R42" s="323"/>
      <c r="S42" s="323"/>
    </row>
    <row r="43" spans="1:19" s="322" customFormat="1" ht="20.100000000000001" customHeight="1" x14ac:dyDescent="0.2">
      <c r="A43" s="321"/>
      <c r="B43" s="323"/>
      <c r="C43" s="323"/>
      <c r="D43" s="323"/>
      <c r="E43" s="323"/>
      <c r="F43" s="323"/>
      <c r="G43" s="323"/>
      <c r="H43" s="323"/>
      <c r="I43" s="323"/>
      <c r="J43" s="323"/>
      <c r="K43" s="323"/>
      <c r="L43" s="323"/>
      <c r="M43" s="323"/>
      <c r="N43" s="323"/>
      <c r="O43" s="323"/>
      <c r="P43" s="323"/>
      <c r="Q43" s="323"/>
      <c r="R43" s="323"/>
      <c r="S43" s="323"/>
    </row>
    <row r="44" spans="1:19" s="322" customFormat="1" ht="20.100000000000001" customHeight="1" x14ac:dyDescent="0.2">
      <c r="A44" s="321"/>
      <c r="B44" s="323"/>
      <c r="C44" s="323"/>
      <c r="D44" s="323"/>
      <c r="E44" s="323"/>
      <c r="F44" s="323"/>
      <c r="G44" s="323"/>
      <c r="H44" s="323"/>
      <c r="I44" s="323"/>
      <c r="J44" s="323"/>
      <c r="K44" s="323"/>
      <c r="L44" s="323"/>
      <c r="M44" s="323"/>
      <c r="N44" s="323"/>
      <c r="O44" s="323"/>
      <c r="P44" s="323"/>
      <c r="Q44" s="323"/>
      <c r="R44" s="323"/>
      <c r="S44" s="323"/>
    </row>
    <row r="45" spans="1:19" s="322" customFormat="1" ht="20.100000000000001" customHeight="1" x14ac:dyDescent="0.2">
      <c r="A45" s="321"/>
      <c r="B45" s="323"/>
      <c r="C45" s="323"/>
      <c r="D45" s="323"/>
      <c r="E45" s="323"/>
      <c r="F45" s="323"/>
      <c r="G45" s="323"/>
      <c r="H45" s="323"/>
      <c r="I45" s="323"/>
      <c r="J45" s="323"/>
      <c r="K45" s="323"/>
      <c r="L45" s="323"/>
      <c r="M45" s="323"/>
      <c r="N45" s="323"/>
      <c r="O45" s="323"/>
      <c r="P45" s="323"/>
      <c r="Q45" s="323"/>
      <c r="R45" s="323"/>
      <c r="S45" s="323"/>
    </row>
    <row r="46" spans="1:19" s="322" customFormat="1" ht="20.100000000000001" customHeight="1" x14ac:dyDescent="0.2">
      <c r="A46" s="321"/>
      <c r="B46" s="323"/>
      <c r="C46" s="323"/>
      <c r="D46" s="323"/>
      <c r="E46" s="323"/>
      <c r="F46" s="323"/>
      <c r="G46" s="323"/>
      <c r="H46" s="323"/>
      <c r="I46" s="323"/>
      <c r="J46" s="323"/>
      <c r="K46" s="323"/>
      <c r="L46" s="323"/>
      <c r="M46" s="323"/>
      <c r="N46" s="323"/>
      <c r="O46" s="323"/>
      <c r="P46" s="323"/>
      <c r="Q46" s="323"/>
      <c r="R46" s="323"/>
      <c r="S46" s="323"/>
    </row>
    <row r="47" spans="1:19" s="322" customFormat="1" ht="20.100000000000001" customHeight="1" x14ac:dyDescent="0.2">
      <c r="A47" s="321"/>
      <c r="B47" s="323"/>
      <c r="C47" s="323"/>
      <c r="D47" s="323"/>
      <c r="E47" s="323"/>
      <c r="F47" s="323"/>
      <c r="G47" s="323"/>
      <c r="H47" s="323"/>
      <c r="I47" s="323"/>
      <c r="J47" s="323"/>
      <c r="K47" s="323"/>
      <c r="L47" s="323"/>
      <c r="M47" s="323"/>
      <c r="N47" s="323"/>
      <c r="O47" s="323"/>
      <c r="P47" s="323"/>
      <c r="Q47" s="323"/>
      <c r="R47" s="323"/>
      <c r="S47" s="323"/>
    </row>
    <row r="48" spans="1:19" s="322" customFormat="1" ht="20.100000000000001" customHeight="1" x14ac:dyDescent="0.2">
      <c r="A48" s="321"/>
      <c r="B48" s="323"/>
      <c r="C48" s="323"/>
      <c r="D48" s="323"/>
      <c r="E48" s="323"/>
      <c r="F48" s="323"/>
      <c r="G48" s="323"/>
      <c r="H48" s="323"/>
      <c r="I48" s="323"/>
      <c r="J48" s="323"/>
      <c r="K48" s="323"/>
      <c r="L48" s="323"/>
      <c r="M48" s="323"/>
      <c r="N48" s="323"/>
      <c r="O48" s="323"/>
      <c r="P48" s="323"/>
      <c r="Q48" s="323"/>
      <c r="R48" s="323"/>
      <c r="S48" s="323"/>
    </row>
    <row r="49" spans="1:19" s="322" customFormat="1" ht="20.100000000000001" customHeight="1" x14ac:dyDescent="0.2">
      <c r="A49" s="321"/>
      <c r="B49" s="323"/>
      <c r="C49" s="323"/>
      <c r="D49" s="323"/>
      <c r="E49" s="323"/>
      <c r="F49" s="323"/>
      <c r="G49" s="323"/>
      <c r="H49" s="323"/>
      <c r="I49" s="323"/>
      <c r="J49" s="323"/>
      <c r="K49" s="323"/>
      <c r="L49" s="323"/>
      <c r="M49" s="323"/>
      <c r="N49" s="323"/>
      <c r="O49" s="323"/>
      <c r="P49" s="323"/>
      <c r="Q49" s="323"/>
      <c r="R49" s="323"/>
      <c r="S49" s="323"/>
    </row>
    <row r="50" spans="1:19" s="322" customFormat="1" ht="20.100000000000001" customHeight="1" x14ac:dyDescent="0.2">
      <c r="A50" s="321"/>
      <c r="B50" s="323"/>
      <c r="C50" s="323"/>
      <c r="D50" s="323"/>
      <c r="E50" s="323"/>
      <c r="F50" s="323"/>
      <c r="G50" s="323"/>
      <c r="H50" s="323"/>
      <c r="I50" s="323"/>
      <c r="J50" s="323"/>
      <c r="K50" s="323"/>
      <c r="L50" s="323"/>
      <c r="M50" s="323"/>
      <c r="N50" s="323"/>
      <c r="O50" s="323"/>
      <c r="P50" s="323"/>
      <c r="Q50" s="323"/>
      <c r="R50" s="323"/>
      <c r="S50" s="323"/>
    </row>
    <row r="51" spans="1:19" s="322" customFormat="1" ht="20.100000000000001" customHeight="1" x14ac:dyDescent="0.2">
      <c r="A51" s="321"/>
      <c r="B51" s="323"/>
      <c r="C51" s="323"/>
      <c r="D51" s="323"/>
      <c r="E51" s="323"/>
      <c r="F51" s="323"/>
      <c r="G51" s="323"/>
      <c r="H51" s="323"/>
      <c r="I51" s="323"/>
      <c r="J51" s="323"/>
      <c r="K51" s="323"/>
      <c r="L51" s="323"/>
      <c r="M51" s="323"/>
      <c r="N51" s="323"/>
      <c r="O51" s="323"/>
      <c r="P51" s="323"/>
      <c r="Q51" s="323"/>
      <c r="R51" s="323"/>
      <c r="S51" s="323"/>
    </row>
    <row r="52" spans="1:19" s="322" customFormat="1" ht="20.100000000000001" customHeight="1" x14ac:dyDescent="0.2">
      <c r="A52" s="321"/>
      <c r="B52" s="323"/>
      <c r="C52" s="323"/>
      <c r="D52" s="323"/>
      <c r="E52" s="323"/>
      <c r="F52" s="323"/>
      <c r="G52" s="323"/>
      <c r="H52" s="323"/>
      <c r="I52" s="323"/>
      <c r="J52" s="323"/>
      <c r="K52" s="323"/>
      <c r="L52" s="323"/>
      <c r="M52" s="323"/>
      <c r="N52" s="323"/>
      <c r="O52" s="323"/>
      <c r="P52" s="323"/>
      <c r="Q52" s="323"/>
      <c r="R52" s="323"/>
      <c r="S52" s="323"/>
    </row>
    <row r="53" spans="1:19" s="322" customFormat="1" ht="20.100000000000001" customHeight="1" x14ac:dyDescent="0.2">
      <c r="A53" s="321"/>
      <c r="B53" s="323"/>
      <c r="C53" s="323"/>
      <c r="D53" s="323"/>
      <c r="E53" s="323"/>
      <c r="F53" s="323"/>
      <c r="G53" s="323"/>
      <c r="H53" s="323"/>
      <c r="I53" s="323"/>
      <c r="J53" s="323"/>
      <c r="K53" s="323"/>
      <c r="L53" s="323"/>
      <c r="M53" s="323"/>
      <c r="N53" s="323"/>
      <c r="O53" s="323"/>
      <c r="P53" s="323"/>
      <c r="Q53" s="323"/>
      <c r="R53" s="323"/>
      <c r="S53" s="323"/>
    </row>
    <row r="54" spans="1:19" s="322" customFormat="1" ht="19.899999999999999" customHeight="1" x14ac:dyDescent="0.2">
      <c r="A54" s="321"/>
      <c r="B54" s="323"/>
      <c r="C54" s="323"/>
      <c r="D54" s="323"/>
      <c r="E54" s="323"/>
      <c r="F54" s="323"/>
      <c r="G54" s="323"/>
      <c r="H54" s="323"/>
      <c r="I54" s="323"/>
      <c r="J54" s="323"/>
      <c r="K54" s="323"/>
      <c r="L54" s="323"/>
      <c r="M54" s="323"/>
      <c r="N54" s="323"/>
      <c r="O54" s="323"/>
      <c r="P54" s="323"/>
      <c r="Q54" s="323"/>
      <c r="R54" s="323"/>
      <c r="S54" s="323"/>
    </row>
    <row r="55" spans="1:19" s="322" customFormat="1" ht="20.100000000000001" customHeight="1" x14ac:dyDescent="0.2">
      <c r="A55" s="321"/>
      <c r="B55" s="323"/>
      <c r="C55" s="323"/>
      <c r="D55" s="323"/>
      <c r="E55" s="323"/>
      <c r="F55" s="323"/>
      <c r="G55" s="323"/>
      <c r="H55" s="323"/>
      <c r="I55" s="323"/>
      <c r="J55" s="323"/>
      <c r="K55" s="323"/>
      <c r="L55" s="323"/>
      <c r="M55" s="323"/>
      <c r="N55" s="323"/>
      <c r="O55" s="323"/>
      <c r="P55" s="323"/>
      <c r="Q55" s="323"/>
      <c r="R55" s="323"/>
      <c r="S55" s="323"/>
    </row>
    <row r="56" spans="1:19" s="322" customFormat="1" ht="20.100000000000001" customHeight="1" x14ac:dyDescent="0.2">
      <c r="A56" s="321"/>
      <c r="B56" s="323"/>
      <c r="C56" s="323"/>
      <c r="D56" s="323"/>
      <c r="E56" s="323"/>
      <c r="F56" s="323"/>
      <c r="G56" s="323"/>
      <c r="H56" s="323"/>
      <c r="I56" s="323"/>
      <c r="J56" s="323"/>
      <c r="K56" s="323"/>
      <c r="L56" s="323"/>
      <c r="M56" s="323"/>
      <c r="N56" s="323"/>
      <c r="O56" s="323"/>
      <c r="P56" s="323"/>
      <c r="Q56" s="323"/>
      <c r="R56" s="323"/>
      <c r="S56" s="323"/>
    </row>
    <row r="57" spans="1:19" s="322" customFormat="1" ht="20.100000000000001" customHeight="1" x14ac:dyDescent="0.2">
      <c r="A57" s="321"/>
      <c r="B57" s="323"/>
      <c r="C57" s="323"/>
      <c r="D57" s="323"/>
      <c r="E57" s="323"/>
      <c r="F57" s="323"/>
      <c r="G57" s="323"/>
      <c r="H57" s="323"/>
      <c r="I57" s="323"/>
      <c r="J57" s="323"/>
      <c r="K57" s="323"/>
      <c r="L57" s="323"/>
      <c r="M57" s="323"/>
      <c r="N57" s="323"/>
      <c r="O57" s="323"/>
      <c r="P57" s="323"/>
      <c r="Q57" s="323"/>
      <c r="R57" s="323"/>
      <c r="S57" s="323"/>
    </row>
    <row r="58" spans="1:19" s="322" customFormat="1" ht="20.100000000000001" customHeight="1" x14ac:dyDescent="0.2">
      <c r="A58" s="321"/>
      <c r="B58" s="323"/>
      <c r="C58" s="323"/>
      <c r="D58" s="323"/>
      <c r="E58" s="323"/>
      <c r="F58" s="323"/>
      <c r="G58" s="323"/>
      <c r="H58" s="323"/>
      <c r="I58" s="323"/>
      <c r="J58" s="323"/>
      <c r="K58" s="323"/>
      <c r="L58" s="323"/>
      <c r="M58" s="323"/>
      <c r="N58" s="323"/>
      <c r="O58" s="323"/>
      <c r="P58" s="323"/>
      <c r="Q58" s="323"/>
      <c r="R58" s="323"/>
      <c r="S58" s="323"/>
    </row>
    <row r="59" spans="1:19" s="322" customFormat="1" ht="20.100000000000001" customHeight="1" x14ac:dyDescent="0.2">
      <c r="A59" s="321"/>
      <c r="B59" s="323"/>
      <c r="C59" s="323"/>
      <c r="D59" s="323"/>
      <c r="E59" s="323"/>
      <c r="F59" s="323"/>
      <c r="G59" s="323"/>
      <c r="H59" s="323"/>
      <c r="I59" s="323"/>
      <c r="J59" s="323"/>
      <c r="K59" s="323"/>
      <c r="L59" s="323"/>
      <c r="M59" s="323"/>
      <c r="N59" s="323"/>
      <c r="O59" s="323"/>
      <c r="P59" s="323"/>
      <c r="Q59" s="323"/>
      <c r="R59" s="323"/>
      <c r="S59" s="323"/>
    </row>
    <row r="60" spans="1:19" s="322" customFormat="1" ht="20.100000000000001" customHeight="1" x14ac:dyDescent="0.2">
      <c r="A60" s="321"/>
      <c r="B60" s="323"/>
      <c r="C60" s="323"/>
      <c r="D60" s="323"/>
      <c r="E60" s="323"/>
      <c r="F60" s="323"/>
      <c r="G60" s="323"/>
      <c r="H60" s="323"/>
      <c r="I60" s="323"/>
      <c r="J60" s="323"/>
      <c r="K60" s="323"/>
      <c r="L60" s="323"/>
      <c r="M60" s="323"/>
      <c r="N60" s="323"/>
      <c r="O60" s="323"/>
      <c r="P60" s="323"/>
      <c r="Q60" s="323"/>
      <c r="R60" s="323"/>
      <c r="S60" s="323"/>
    </row>
    <row r="61" spans="1:19" s="322" customFormat="1" ht="20.100000000000001" customHeight="1" x14ac:dyDescent="0.2">
      <c r="A61" s="321"/>
      <c r="B61" s="323"/>
      <c r="C61" s="323"/>
      <c r="D61" s="323"/>
      <c r="E61" s="323"/>
      <c r="F61" s="323"/>
      <c r="G61" s="323"/>
      <c r="H61" s="323"/>
      <c r="I61" s="323"/>
      <c r="J61" s="323"/>
      <c r="K61" s="323"/>
      <c r="L61" s="323"/>
      <c r="M61" s="323"/>
      <c r="N61" s="323"/>
      <c r="O61" s="323"/>
      <c r="P61" s="323"/>
      <c r="Q61" s="323"/>
      <c r="R61" s="323"/>
      <c r="S61" s="323"/>
    </row>
    <row r="62" spans="1:19" s="322" customFormat="1" ht="20.100000000000001" customHeight="1" x14ac:dyDescent="0.2">
      <c r="A62" s="321"/>
      <c r="B62" s="323"/>
      <c r="C62" s="323"/>
      <c r="D62" s="323"/>
      <c r="E62" s="323"/>
      <c r="F62" s="323"/>
      <c r="G62" s="323"/>
      <c r="H62" s="323"/>
      <c r="I62" s="323"/>
      <c r="J62" s="323"/>
      <c r="K62" s="323"/>
      <c r="L62" s="323"/>
      <c r="M62" s="323"/>
      <c r="N62" s="323"/>
      <c r="O62" s="323"/>
      <c r="P62" s="323"/>
      <c r="Q62" s="323"/>
      <c r="R62" s="323"/>
      <c r="S62" s="323"/>
    </row>
    <row r="63" spans="1:19" s="322" customFormat="1" ht="20.100000000000001" customHeight="1" x14ac:dyDescent="0.2">
      <c r="A63" s="321"/>
      <c r="B63" s="323"/>
      <c r="C63" s="323"/>
      <c r="D63" s="323"/>
      <c r="E63" s="323"/>
      <c r="F63" s="323"/>
      <c r="G63" s="323"/>
      <c r="H63" s="323"/>
      <c r="I63" s="323"/>
      <c r="J63" s="323"/>
      <c r="K63" s="323"/>
      <c r="L63" s="323"/>
      <c r="M63" s="323"/>
      <c r="N63" s="323"/>
      <c r="O63" s="323"/>
      <c r="P63" s="323"/>
      <c r="Q63" s="323"/>
      <c r="R63" s="323"/>
      <c r="S63" s="323"/>
    </row>
    <row r="64" spans="1:19" s="322" customFormat="1" ht="20.100000000000001" customHeight="1" x14ac:dyDescent="0.2">
      <c r="A64" s="321"/>
      <c r="B64" s="323"/>
      <c r="C64" s="323"/>
      <c r="D64" s="323"/>
      <c r="E64" s="323"/>
      <c r="F64" s="323"/>
      <c r="G64" s="323"/>
      <c r="H64" s="323"/>
      <c r="I64" s="323"/>
      <c r="J64" s="323"/>
      <c r="K64" s="323"/>
      <c r="L64" s="323"/>
      <c r="M64" s="323"/>
      <c r="N64" s="323"/>
      <c r="O64" s="323"/>
      <c r="P64" s="323"/>
      <c r="Q64" s="323"/>
      <c r="R64" s="323"/>
      <c r="S64" s="323"/>
    </row>
    <row r="65" spans="1:19" s="322" customFormat="1" ht="20.100000000000001" customHeight="1" x14ac:dyDescent="0.2">
      <c r="A65" s="321"/>
      <c r="B65" s="323"/>
      <c r="C65" s="323"/>
      <c r="D65" s="323"/>
      <c r="E65" s="323"/>
      <c r="F65" s="323"/>
      <c r="G65" s="323"/>
      <c r="H65" s="323"/>
      <c r="I65" s="323"/>
      <c r="J65" s="323"/>
      <c r="K65" s="323"/>
      <c r="L65" s="323"/>
      <c r="M65" s="323"/>
      <c r="N65" s="323"/>
      <c r="O65" s="323"/>
      <c r="P65" s="323"/>
      <c r="Q65" s="323"/>
      <c r="R65" s="323"/>
      <c r="S65" s="323"/>
    </row>
    <row r="66" spans="1:19" ht="20.100000000000001" customHeight="1" x14ac:dyDescent="0.2"/>
    <row r="67" spans="1:19" ht="9.9499999999999993" customHeight="1" x14ac:dyDescent="0.2"/>
    <row r="68" spans="1:19" ht="20.100000000000001" customHeight="1" x14ac:dyDescent="0.2"/>
    <row r="69" spans="1:19" ht="20.100000000000001" customHeight="1" x14ac:dyDescent="0.2"/>
    <row r="70" spans="1:19" ht="20.100000000000001" customHeight="1" x14ac:dyDescent="0.2"/>
    <row r="71" spans="1:19" s="322" customFormat="1" ht="20.100000000000001" customHeight="1" x14ac:dyDescent="0.2">
      <c r="A71" s="321"/>
      <c r="B71" s="323"/>
      <c r="C71" s="323"/>
      <c r="D71" s="323"/>
      <c r="E71" s="323"/>
      <c r="F71" s="323"/>
      <c r="G71" s="323"/>
      <c r="H71" s="323"/>
      <c r="I71" s="323"/>
      <c r="J71" s="323"/>
      <c r="K71" s="323"/>
      <c r="L71" s="323"/>
      <c r="M71" s="323"/>
      <c r="N71" s="323"/>
      <c r="O71" s="323"/>
      <c r="P71" s="323"/>
      <c r="Q71" s="323"/>
      <c r="R71" s="323"/>
      <c r="S71" s="323"/>
    </row>
    <row r="72" spans="1:19" s="322" customFormat="1" ht="20.100000000000001" customHeight="1" x14ac:dyDescent="0.2">
      <c r="A72" s="321"/>
      <c r="B72" s="323"/>
      <c r="C72" s="323"/>
      <c r="D72" s="323"/>
      <c r="E72" s="323"/>
      <c r="F72" s="323"/>
      <c r="G72" s="323"/>
      <c r="H72" s="323"/>
      <c r="I72" s="323"/>
      <c r="J72" s="323"/>
      <c r="K72" s="323"/>
      <c r="L72" s="323"/>
      <c r="M72" s="323"/>
      <c r="N72" s="323"/>
      <c r="O72" s="323"/>
      <c r="P72" s="323"/>
      <c r="Q72" s="323"/>
      <c r="R72" s="323"/>
      <c r="S72" s="323"/>
    </row>
    <row r="73" spans="1:19" s="322" customFormat="1" ht="20.100000000000001" customHeight="1" x14ac:dyDescent="0.2">
      <c r="A73" s="321"/>
      <c r="B73" s="323"/>
      <c r="C73" s="323"/>
      <c r="D73" s="323"/>
      <c r="E73" s="323"/>
      <c r="F73" s="323"/>
      <c r="G73" s="323"/>
      <c r="H73" s="323"/>
      <c r="I73" s="323"/>
      <c r="J73" s="323"/>
      <c r="K73" s="323"/>
      <c r="L73" s="323"/>
      <c r="M73" s="323"/>
      <c r="N73" s="323"/>
      <c r="O73" s="323"/>
      <c r="P73" s="323"/>
      <c r="Q73" s="323"/>
      <c r="R73" s="323"/>
      <c r="S73" s="323"/>
    </row>
    <row r="74" spans="1:19" s="322" customFormat="1" ht="20.100000000000001" customHeight="1" x14ac:dyDescent="0.2">
      <c r="A74" s="321"/>
      <c r="B74" s="323"/>
      <c r="C74" s="323"/>
      <c r="D74" s="323"/>
      <c r="E74" s="323"/>
      <c r="F74" s="323"/>
      <c r="G74" s="323"/>
      <c r="H74" s="323"/>
      <c r="I74" s="323"/>
      <c r="J74" s="323"/>
      <c r="K74" s="323"/>
      <c r="L74" s="323"/>
      <c r="M74" s="323"/>
      <c r="N74" s="323"/>
      <c r="O74" s="323"/>
      <c r="P74" s="323"/>
      <c r="Q74" s="323"/>
      <c r="R74" s="323"/>
      <c r="S74" s="323"/>
    </row>
    <row r="75" spans="1:19" s="322" customFormat="1" ht="20.100000000000001" customHeight="1" x14ac:dyDescent="0.2">
      <c r="A75" s="321"/>
      <c r="B75" s="323"/>
      <c r="C75" s="323"/>
      <c r="D75" s="323"/>
      <c r="E75" s="323"/>
      <c r="F75" s="323"/>
      <c r="G75" s="323"/>
      <c r="H75" s="323"/>
      <c r="I75" s="323"/>
      <c r="J75" s="323"/>
      <c r="K75" s="323"/>
      <c r="L75" s="323"/>
      <c r="M75" s="323"/>
      <c r="N75" s="323"/>
      <c r="O75" s="323"/>
      <c r="P75" s="323"/>
      <c r="Q75" s="323"/>
      <c r="R75" s="323"/>
      <c r="S75" s="323"/>
    </row>
    <row r="76" spans="1:19" s="322" customFormat="1" ht="20.100000000000001" customHeight="1" x14ac:dyDescent="0.2">
      <c r="A76" s="321"/>
      <c r="B76" s="323"/>
      <c r="C76" s="323"/>
      <c r="D76" s="323"/>
      <c r="E76" s="323"/>
      <c r="F76" s="323"/>
      <c r="G76" s="323"/>
      <c r="H76" s="323"/>
      <c r="I76" s="323"/>
      <c r="J76" s="323"/>
      <c r="K76" s="323"/>
      <c r="L76" s="323"/>
      <c r="M76" s="323"/>
      <c r="N76" s="323"/>
      <c r="O76" s="323"/>
      <c r="P76" s="323"/>
      <c r="Q76" s="323"/>
      <c r="R76" s="323"/>
      <c r="S76" s="323"/>
    </row>
    <row r="77" spans="1:19" s="322" customFormat="1" ht="20.100000000000001" customHeight="1" x14ac:dyDescent="0.2">
      <c r="A77" s="321"/>
      <c r="B77" s="323"/>
      <c r="C77" s="323"/>
      <c r="D77" s="323"/>
      <c r="E77" s="323"/>
      <c r="F77" s="323"/>
      <c r="G77" s="323"/>
      <c r="H77" s="323"/>
      <c r="I77" s="323"/>
      <c r="J77" s="323"/>
      <c r="K77" s="323"/>
      <c r="L77" s="323"/>
      <c r="M77" s="323"/>
      <c r="N77" s="323"/>
      <c r="O77" s="323"/>
      <c r="P77" s="323"/>
      <c r="Q77" s="323"/>
      <c r="R77" s="323"/>
      <c r="S77" s="323"/>
    </row>
    <row r="78" spans="1:19" s="322" customFormat="1" ht="20.100000000000001" customHeight="1" x14ac:dyDescent="0.2">
      <c r="A78" s="321"/>
      <c r="B78" s="323"/>
      <c r="C78" s="323"/>
      <c r="D78" s="323"/>
      <c r="E78" s="323"/>
      <c r="F78" s="323"/>
      <c r="G78" s="323"/>
      <c r="H78" s="323"/>
      <c r="I78" s="323"/>
      <c r="J78" s="323"/>
      <c r="K78" s="323"/>
      <c r="L78" s="323"/>
      <c r="M78" s="323"/>
      <c r="N78" s="323"/>
      <c r="O78" s="323"/>
      <c r="P78" s="323"/>
      <c r="Q78" s="323"/>
      <c r="R78" s="323"/>
      <c r="S78" s="323"/>
    </row>
    <row r="79" spans="1:19" s="322" customFormat="1" ht="20.100000000000001" customHeight="1" x14ac:dyDescent="0.2">
      <c r="A79" s="321"/>
      <c r="B79" s="323"/>
      <c r="C79" s="323"/>
      <c r="D79" s="323"/>
      <c r="E79" s="323"/>
      <c r="F79" s="323"/>
      <c r="G79" s="323"/>
      <c r="H79" s="323"/>
      <c r="I79" s="323"/>
      <c r="J79" s="323"/>
      <c r="K79" s="323"/>
      <c r="L79" s="323"/>
      <c r="M79" s="323"/>
      <c r="N79" s="323"/>
      <c r="O79" s="323"/>
      <c r="P79" s="323"/>
      <c r="Q79" s="323"/>
      <c r="R79" s="323"/>
      <c r="S79" s="323"/>
    </row>
    <row r="80" spans="1:19" s="322" customFormat="1" ht="20.100000000000001" customHeight="1" x14ac:dyDescent="0.2">
      <c r="A80" s="321"/>
      <c r="B80" s="323"/>
      <c r="C80" s="323"/>
      <c r="D80" s="323"/>
      <c r="E80" s="323"/>
      <c r="F80" s="323"/>
      <c r="G80" s="323"/>
      <c r="H80" s="323"/>
      <c r="I80" s="323"/>
      <c r="J80" s="323"/>
      <c r="K80" s="323"/>
      <c r="L80" s="323"/>
      <c r="M80" s="323"/>
      <c r="N80" s="323"/>
      <c r="O80" s="323"/>
      <c r="P80" s="323"/>
      <c r="Q80" s="323"/>
      <c r="R80" s="323"/>
      <c r="S80" s="323"/>
    </row>
    <row r="81" spans="1:19" s="322" customFormat="1" ht="20.100000000000001" customHeight="1" x14ac:dyDescent="0.2">
      <c r="A81" s="321"/>
      <c r="B81" s="323"/>
      <c r="C81" s="323"/>
      <c r="D81" s="323"/>
      <c r="E81" s="323"/>
      <c r="F81" s="323"/>
      <c r="G81" s="323"/>
      <c r="H81" s="323"/>
      <c r="I81" s="323"/>
      <c r="J81" s="323"/>
      <c r="K81" s="323"/>
      <c r="L81" s="323"/>
      <c r="M81" s="323"/>
      <c r="N81" s="323"/>
      <c r="O81" s="323"/>
      <c r="P81" s="323"/>
      <c r="Q81" s="323"/>
      <c r="R81" s="323"/>
      <c r="S81" s="323"/>
    </row>
    <row r="82" spans="1:19" s="322" customFormat="1" ht="20.100000000000001" customHeight="1" x14ac:dyDescent="0.2">
      <c r="A82" s="321"/>
      <c r="B82" s="323"/>
      <c r="C82" s="323"/>
      <c r="D82" s="323"/>
      <c r="E82" s="323"/>
      <c r="F82" s="323"/>
      <c r="G82" s="323"/>
      <c r="H82" s="323"/>
      <c r="I82" s="323"/>
      <c r="J82" s="323"/>
      <c r="K82" s="323"/>
      <c r="L82" s="323"/>
      <c r="M82" s="323"/>
      <c r="N82" s="323"/>
      <c r="O82" s="323"/>
      <c r="P82" s="323"/>
      <c r="Q82" s="323"/>
      <c r="R82" s="323"/>
      <c r="S82" s="323"/>
    </row>
    <row r="83" spans="1:19" s="322" customFormat="1" ht="20.100000000000001" customHeight="1" x14ac:dyDescent="0.2">
      <c r="A83" s="321"/>
      <c r="B83" s="323"/>
      <c r="C83" s="323"/>
      <c r="D83" s="323"/>
      <c r="E83" s="323"/>
      <c r="F83" s="323"/>
      <c r="G83" s="323"/>
      <c r="H83" s="323"/>
      <c r="I83" s="323"/>
      <c r="J83" s="323"/>
      <c r="K83" s="323"/>
      <c r="L83" s="323"/>
      <c r="M83" s="323"/>
      <c r="N83" s="323"/>
      <c r="O83" s="323"/>
      <c r="P83" s="323"/>
      <c r="Q83" s="323"/>
      <c r="R83" s="323"/>
      <c r="S83" s="323"/>
    </row>
    <row r="84" spans="1:19" s="322" customFormat="1" ht="20.100000000000001" customHeight="1" x14ac:dyDescent="0.2">
      <c r="A84" s="321"/>
      <c r="B84" s="323"/>
      <c r="C84" s="323"/>
      <c r="D84" s="323"/>
      <c r="E84" s="323"/>
      <c r="F84" s="323"/>
      <c r="G84" s="323"/>
      <c r="H84" s="323"/>
      <c r="I84" s="323"/>
      <c r="J84" s="323"/>
      <c r="K84" s="323"/>
      <c r="L84" s="323"/>
      <c r="M84" s="323"/>
      <c r="N84" s="323"/>
      <c r="O84" s="323"/>
      <c r="P84" s="323"/>
      <c r="Q84" s="323"/>
      <c r="R84" s="323"/>
      <c r="S84" s="323"/>
    </row>
    <row r="85" spans="1:19" s="322" customFormat="1" ht="20.100000000000001" customHeight="1" x14ac:dyDescent="0.2">
      <c r="A85" s="321"/>
      <c r="B85" s="323"/>
      <c r="C85" s="323"/>
      <c r="D85" s="323"/>
      <c r="E85" s="323"/>
      <c r="F85" s="323"/>
      <c r="G85" s="323"/>
      <c r="H85" s="323"/>
      <c r="I85" s="323"/>
      <c r="J85" s="323"/>
      <c r="K85" s="323"/>
      <c r="L85" s="323"/>
      <c r="M85" s="323"/>
      <c r="N85" s="323"/>
      <c r="O85" s="323"/>
      <c r="P85" s="323"/>
      <c r="Q85" s="323"/>
      <c r="R85" s="323"/>
      <c r="S85" s="323"/>
    </row>
    <row r="86" spans="1:19" s="322" customFormat="1" ht="20.100000000000001" customHeight="1" x14ac:dyDescent="0.2">
      <c r="A86" s="321"/>
      <c r="B86" s="323"/>
      <c r="C86" s="323"/>
      <c r="D86" s="323"/>
      <c r="E86" s="323"/>
      <c r="F86" s="323"/>
      <c r="G86" s="323"/>
      <c r="H86" s="323"/>
      <c r="I86" s="323"/>
      <c r="J86" s="323"/>
      <c r="K86" s="323"/>
      <c r="L86" s="323"/>
      <c r="M86" s="323"/>
      <c r="N86" s="323"/>
      <c r="O86" s="323"/>
      <c r="P86" s="323"/>
      <c r="Q86" s="323"/>
      <c r="R86" s="323"/>
      <c r="S86" s="323"/>
    </row>
    <row r="87" spans="1:19" s="322" customFormat="1" ht="20.100000000000001" customHeight="1" x14ac:dyDescent="0.2">
      <c r="A87" s="321"/>
      <c r="B87" s="323"/>
      <c r="C87" s="323"/>
      <c r="D87" s="323"/>
      <c r="E87" s="323"/>
      <c r="F87" s="323"/>
      <c r="G87" s="323"/>
      <c r="H87" s="323"/>
      <c r="I87" s="323"/>
      <c r="J87" s="323"/>
      <c r="K87" s="323"/>
      <c r="L87" s="323"/>
      <c r="M87" s="323"/>
      <c r="N87" s="323"/>
      <c r="O87" s="323"/>
      <c r="P87" s="323"/>
      <c r="Q87" s="323"/>
      <c r="R87" s="323"/>
      <c r="S87" s="323"/>
    </row>
    <row r="88" spans="1:19" s="322" customFormat="1" ht="20.100000000000001" customHeight="1" x14ac:dyDescent="0.2">
      <c r="A88" s="321"/>
      <c r="B88" s="323"/>
      <c r="C88" s="323"/>
      <c r="D88" s="323"/>
      <c r="E88" s="323"/>
      <c r="F88" s="323"/>
      <c r="G88" s="323"/>
      <c r="H88" s="323"/>
      <c r="I88" s="323"/>
      <c r="J88" s="323"/>
      <c r="K88" s="323"/>
      <c r="L88" s="323"/>
      <c r="M88" s="323"/>
      <c r="N88" s="323"/>
      <c r="O88" s="323"/>
      <c r="P88" s="323"/>
      <c r="Q88" s="323"/>
      <c r="R88" s="323"/>
      <c r="S88" s="323"/>
    </row>
    <row r="89" spans="1:19" s="322" customFormat="1" ht="20.100000000000001" customHeight="1" x14ac:dyDescent="0.2">
      <c r="A89" s="321"/>
      <c r="B89" s="323"/>
      <c r="C89" s="323"/>
      <c r="D89" s="323"/>
      <c r="E89" s="323"/>
      <c r="F89" s="323"/>
      <c r="G89" s="323"/>
      <c r="H89" s="323"/>
      <c r="I89" s="323"/>
      <c r="J89" s="323"/>
      <c r="K89" s="323"/>
      <c r="L89" s="323"/>
      <c r="M89" s="323"/>
      <c r="N89" s="323"/>
      <c r="O89" s="323"/>
      <c r="P89" s="323"/>
      <c r="Q89" s="323"/>
      <c r="R89" s="323"/>
      <c r="S89" s="323"/>
    </row>
    <row r="90" spans="1:19" s="322" customFormat="1" ht="20.100000000000001" customHeight="1" x14ac:dyDescent="0.2">
      <c r="A90" s="321"/>
      <c r="B90" s="323"/>
      <c r="C90" s="323"/>
      <c r="D90" s="323"/>
      <c r="E90" s="323"/>
      <c r="F90" s="323"/>
      <c r="G90" s="323"/>
      <c r="H90" s="323"/>
      <c r="I90" s="323"/>
      <c r="J90" s="323"/>
      <c r="K90" s="323"/>
      <c r="L90" s="323"/>
      <c r="M90" s="323"/>
      <c r="N90" s="323"/>
      <c r="O90" s="323"/>
      <c r="P90" s="323"/>
      <c r="Q90" s="323"/>
      <c r="R90" s="323"/>
      <c r="S90" s="323"/>
    </row>
    <row r="91" spans="1:19" s="322" customFormat="1" ht="20.100000000000001" customHeight="1" x14ac:dyDescent="0.2">
      <c r="A91" s="321"/>
      <c r="B91" s="323"/>
      <c r="C91" s="323"/>
      <c r="D91" s="323"/>
      <c r="E91" s="323"/>
      <c r="F91" s="323"/>
      <c r="G91" s="323"/>
      <c r="H91" s="323"/>
      <c r="I91" s="323"/>
      <c r="J91" s="323"/>
      <c r="K91" s="323"/>
      <c r="L91" s="323"/>
      <c r="M91" s="323"/>
      <c r="N91" s="323"/>
      <c r="O91" s="323"/>
      <c r="P91" s="323"/>
      <c r="Q91" s="323"/>
      <c r="R91" s="323"/>
      <c r="S91" s="323"/>
    </row>
    <row r="92" spans="1:19" s="322" customFormat="1" ht="20.100000000000001" customHeight="1" x14ac:dyDescent="0.2">
      <c r="A92" s="321"/>
      <c r="B92" s="323"/>
      <c r="C92" s="323"/>
      <c r="D92" s="323"/>
      <c r="E92" s="323"/>
      <c r="F92" s="323"/>
      <c r="G92" s="323"/>
      <c r="H92" s="323"/>
      <c r="I92" s="323"/>
      <c r="J92" s="323"/>
      <c r="K92" s="323"/>
      <c r="L92" s="323"/>
      <c r="M92" s="323"/>
      <c r="N92" s="323"/>
      <c r="O92" s="323"/>
      <c r="P92" s="323"/>
      <c r="Q92" s="323"/>
      <c r="R92" s="323"/>
      <c r="S92" s="323"/>
    </row>
    <row r="93" spans="1:19" s="322" customFormat="1" ht="20.100000000000001" customHeight="1" x14ac:dyDescent="0.2">
      <c r="A93" s="321"/>
      <c r="B93" s="323"/>
      <c r="C93" s="323"/>
      <c r="D93" s="323"/>
      <c r="E93" s="323"/>
      <c r="F93" s="323"/>
      <c r="G93" s="323"/>
      <c r="H93" s="323"/>
      <c r="I93" s="323"/>
      <c r="J93" s="323"/>
      <c r="K93" s="323"/>
      <c r="L93" s="323"/>
      <c r="M93" s="323"/>
      <c r="N93" s="323"/>
      <c r="O93" s="323"/>
      <c r="P93" s="323"/>
      <c r="Q93" s="323"/>
      <c r="R93" s="323"/>
      <c r="S93" s="323"/>
    </row>
    <row r="94" spans="1:19" s="322" customFormat="1" ht="20.100000000000001" customHeight="1" x14ac:dyDescent="0.2">
      <c r="A94" s="321"/>
      <c r="B94" s="323"/>
      <c r="C94" s="323"/>
      <c r="D94" s="323"/>
      <c r="E94" s="323"/>
      <c r="F94" s="323"/>
      <c r="G94" s="323"/>
      <c r="H94" s="323"/>
      <c r="I94" s="323"/>
      <c r="J94" s="323"/>
      <c r="K94" s="323"/>
      <c r="L94" s="323"/>
      <c r="M94" s="323"/>
      <c r="N94" s="323"/>
      <c r="O94" s="323"/>
      <c r="P94" s="323"/>
      <c r="Q94" s="323"/>
      <c r="R94" s="323"/>
      <c r="S94" s="323"/>
    </row>
    <row r="95" spans="1:19" s="322" customFormat="1" ht="20.100000000000001" customHeight="1" x14ac:dyDescent="0.2">
      <c r="A95" s="321"/>
      <c r="B95" s="323"/>
      <c r="C95" s="323"/>
      <c r="D95" s="323"/>
      <c r="E95" s="323"/>
      <c r="F95" s="323"/>
      <c r="G95" s="323"/>
      <c r="H95" s="323"/>
      <c r="I95" s="323"/>
      <c r="J95" s="323"/>
      <c r="K95" s="323"/>
      <c r="L95" s="323"/>
      <c r="M95" s="323"/>
      <c r="N95" s="323"/>
      <c r="O95" s="323"/>
      <c r="P95" s="323"/>
      <c r="Q95" s="323"/>
      <c r="R95" s="323"/>
      <c r="S95" s="323"/>
    </row>
    <row r="96" spans="1:19" s="322" customFormat="1" ht="20.100000000000001" customHeight="1" x14ac:dyDescent="0.2">
      <c r="A96" s="321"/>
      <c r="B96" s="323"/>
      <c r="C96" s="323"/>
      <c r="D96" s="323"/>
      <c r="E96" s="323"/>
      <c r="F96" s="323"/>
      <c r="G96" s="323"/>
      <c r="H96" s="323"/>
      <c r="I96" s="323"/>
      <c r="J96" s="323"/>
      <c r="K96" s="323"/>
      <c r="L96" s="323"/>
      <c r="M96" s="323"/>
      <c r="N96" s="323"/>
      <c r="O96" s="323"/>
      <c r="P96" s="323"/>
      <c r="Q96" s="323"/>
      <c r="R96" s="323"/>
      <c r="S96" s="323"/>
    </row>
    <row r="97" spans="1:19" s="322" customFormat="1" ht="20.100000000000001" customHeight="1" x14ac:dyDescent="0.2">
      <c r="A97" s="321"/>
      <c r="B97" s="323"/>
      <c r="C97" s="323"/>
      <c r="D97" s="323"/>
      <c r="E97" s="323"/>
      <c r="F97" s="323"/>
      <c r="G97" s="323"/>
      <c r="H97" s="323"/>
      <c r="I97" s="323"/>
      <c r="J97" s="323"/>
      <c r="K97" s="323"/>
      <c r="L97" s="323"/>
      <c r="M97" s="323"/>
      <c r="N97" s="323"/>
      <c r="O97" s="323"/>
      <c r="P97" s="323"/>
      <c r="Q97" s="323"/>
      <c r="R97" s="323"/>
      <c r="S97" s="323"/>
    </row>
    <row r="98" spans="1:19" s="322" customFormat="1" ht="20.100000000000001" customHeight="1" x14ac:dyDescent="0.2">
      <c r="A98" s="321"/>
      <c r="B98" s="323"/>
      <c r="C98" s="323"/>
      <c r="D98" s="323"/>
      <c r="E98" s="323"/>
      <c r="F98" s="323"/>
      <c r="G98" s="323"/>
      <c r="H98" s="323"/>
      <c r="I98" s="323"/>
      <c r="J98" s="323"/>
      <c r="K98" s="323"/>
      <c r="L98" s="323"/>
      <c r="M98" s="323"/>
      <c r="N98" s="323"/>
      <c r="O98" s="323"/>
      <c r="P98" s="323"/>
      <c r="Q98" s="323"/>
      <c r="R98" s="323"/>
      <c r="S98" s="323"/>
    </row>
    <row r="99" spans="1:19" s="322" customFormat="1" ht="20.100000000000001" customHeight="1" x14ac:dyDescent="0.2">
      <c r="A99" s="321"/>
      <c r="B99" s="323"/>
      <c r="C99" s="323"/>
      <c r="D99" s="323"/>
      <c r="E99" s="323"/>
      <c r="F99" s="323"/>
      <c r="G99" s="323"/>
      <c r="H99" s="323"/>
      <c r="I99" s="323"/>
      <c r="J99" s="323"/>
      <c r="K99" s="323"/>
      <c r="L99" s="323"/>
      <c r="M99" s="323"/>
      <c r="N99" s="323"/>
      <c r="O99" s="323"/>
      <c r="P99" s="323"/>
      <c r="Q99" s="323"/>
      <c r="R99" s="323"/>
      <c r="S99" s="323"/>
    </row>
    <row r="100" spans="1:19" s="322" customFormat="1" ht="20.100000000000001" customHeight="1" x14ac:dyDescent="0.2">
      <c r="A100" s="321"/>
      <c r="B100" s="323"/>
      <c r="C100" s="323"/>
      <c r="D100" s="323"/>
      <c r="E100" s="323"/>
      <c r="F100" s="323"/>
      <c r="G100" s="323"/>
      <c r="H100" s="323"/>
      <c r="I100" s="323"/>
      <c r="J100" s="323"/>
      <c r="K100" s="323"/>
      <c r="L100" s="323"/>
      <c r="M100" s="323"/>
      <c r="N100" s="323"/>
      <c r="O100" s="323"/>
      <c r="P100" s="323"/>
      <c r="Q100" s="323"/>
      <c r="R100" s="323"/>
      <c r="S100" s="323"/>
    </row>
    <row r="101" spans="1:19" s="322" customFormat="1" ht="20.100000000000001" customHeight="1" x14ac:dyDescent="0.2">
      <c r="A101" s="321"/>
      <c r="B101" s="323"/>
      <c r="C101" s="323"/>
      <c r="D101" s="323"/>
      <c r="E101" s="323"/>
      <c r="F101" s="323"/>
      <c r="G101" s="323"/>
      <c r="H101" s="323"/>
      <c r="I101" s="323"/>
      <c r="J101" s="323"/>
      <c r="K101" s="323"/>
      <c r="L101" s="323"/>
      <c r="M101" s="323"/>
      <c r="N101" s="323"/>
      <c r="O101" s="323"/>
      <c r="P101" s="323"/>
      <c r="Q101" s="323"/>
      <c r="R101" s="323"/>
      <c r="S101" s="323"/>
    </row>
    <row r="102" spans="1:19" s="322" customFormat="1" ht="20.100000000000001" customHeight="1" x14ac:dyDescent="0.2">
      <c r="A102" s="321"/>
      <c r="B102" s="323"/>
      <c r="C102" s="323"/>
      <c r="D102" s="323"/>
      <c r="E102" s="323"/>
      <c r="F102" s="323"/>
      <c r="G102" s="323"/>
      <c r="H102" s="323"/>
      <c r="I102" s="323"/>
      <c r="J102" s="323"/>
      <c r="K102" s="323"/>
      <c r="L102" s="323"/>
      <c r="M102" s="323"/>
      <c r="N102" s="323"/>
      <c r="O102" s="323"/>
      <c r="P102" s="323"/>
      <c r="Q102" s="323"/>
      <c r="R102" s="323"/>
      <c r="S102" s="323"/>
    </row>
    <row r="103" spans="1:19" s="322" customFormat="1" ht="20.100000000000001" customHeight="1" x14ac:dyDescent="0.2">
      <c r="A103" s="321"/>
      <c r="B103" s="323"/>
      <c r="C103" s="323"/>
      <c r="D103" s="323"/>
      <c r="E103" s="323"/>
      <c r="F103" s="323"/>
      <c r="G103" s="323"/>
      <c r="H103" s="323"/>
      <c r="I103" s="323"/>
      <c r="J103" s="323"/>
      <c r="K103" s="323"/>
      <c r="L103" s="323"/>
      <c r="M103" s="323"/>
      <c r="N103" s="323"/>
      <c r="O103" s="323"/>
      <c r="P103" s="323"/>
      <c r="Q103" s="323"/>
      <c r="R103" s="323"/>
      <c r="S103" s="323"/>
    </row>
    <row r="104" spans="1:19" s="322" customFormat="1" ht="20.100000000000001" customHeight="1" x14ac:dyDescent="0.2">
      <c r="A104" s="321"/>
      <c r="B104" s="323"/>
      <c r="C104" s="323"/>
      <c r="D104" s="323"/>
      <c r="E104" s="323"/>
      <c r="F104" s="323"/>
      <c r="G104" s="323"/>
      <c r="H104" s="323"/>
      <c r="I104" s="323"/>
      <c r="J104" s="323"/>
      <c r="K104" s="323"/>
      <c r="L104" s="323"/>
      <c r="M104" s="323"/>
      <c r="N104" s="323"/>
      <c r="O104" s="323"/>
      <c r="P104" s="323"/>
      <c r="Q104" s="323"/>
      <c r="R104" s="323"/>
      <c r="S104" s="323"/>
    </row>
    <row r="105" spans="1:19" s="322" customFormat="1" ht="20.100000000000001" customHeight="1" x14ac:dyDescent="0.2">
      <c r="A105" s="321"/>
      <c r="B105" s="323"/>
      <c r="C105" s="323"/>
      <c r="D105" s="323"/>
      <c r="E105" s="323"/>
      <c r="F105" s="323"/>
      <c r="G105" s="323"/>
      <c r="H105" s="323"/>
      <c r="I105" s="323"/>
      <c r="J105" s="323"/>
      <c r="K105" s="323"/>
      <c r="L105" s="323"/>
      <c r="M105" s="323"/>
      <c r="N105" s="323"/>
      <c r="O105" s="323"/>
      <c r="P105" s="323"/>
      <c r="Q105" s="323"/>
      <c r="R105" s="323"/>
      <c r="S105" s="323"/>
    </row>
    <row r="106" spans="1:19" s="322" customFormat="1" ht="20.100000000000001" customHeight="1" x14ac:dyDescent="0.2">
      <c r="A106" s="321"/>
      <c r="B106" s="323"/>
      <c r="C106" s="323"/>
      <c r="D106" s="323"/>
      <c r="E106" s="323"/>
      <c r="F106" s="323"/>
      <c r="G106" s="323"/>
      <c r="H106" s="323"/>
      <c r="I106" s="323"/>
      <c r="J106" s="323"/>
      <c r="K106" s="323"/>
      <c r="L106" s="323"/>
      <c r="M106" s="323"/>
      <c r="N106" s="323"/>
      <c r="O106" s="323"/>
      <c r="P106" s="323"/>
      <c r="Q106" s="323"/>
      <c r="R106" s="323"/>
      <c r="S106" s="323"/>
    </row>
    <row r="107" spans="1:19" s="322" customFormat="1" ht="20.100000000000001" customHeight="1" x14ac:dyDescent="0.2">
      <c r="A107" s="321"/>
      <c r="B107" s="323"/>
      <c r="C107" s="323"/>
      <c r="D107" s="323"/>
      <c r="E107" s="323"/>
      <c r="F107" s="323"/>
      <c r="G107" s="323"/>
      <c r="H107" s="323"/>
      <c r="I107" s="323"/>
      <c r="J107" s="323"/>
      <c r="K107" s="323"/>
      <c r="L107" s="323"/>
      <c r="M107" s="323"/>
      <c r="N107" s="323"/>
      <c r="O107" s="323"/>
      <c r="P107" s="323"/>
      <c r="Q107" s="323"/>
      <c r="R107" s="323"/>
      <c r="S107" s="323"/>
    </row>
    <row r="108" spans="1:19" ht="20.100000000000001" customHeight="1" x14ac:dyDescent="0.2"/>
    <row r="109" spans="1:19" ht="9.9499999999999993" customHeight="1" x14ac:dyDescent="0.2"/>
    <row r="110" spans="1:19" ht="20.100000000000001" customHeight="1" x14ac:dyDescent="0.2"/>
    <row r="111" spans="1:19" ht="20.100000000000001" customHeight="1" x14ac:dyDescent="0.2"/>
    <row r="112" spans="1:19" ht="20.100000000000001" customHeight="1" x14ac:dyDescent="0.2"/>
    <row r="113" spans="1:19" ht="20.100000000000001" customHeight="1" x14ac:dyDescent="0.2"/>
    <row r="114" spans="1:19" s="322" customFormat="1" ht="20.100000000000001" customHeight="1" x14ac:dyDescent="0.2">
      <c r="A114" s="321"/>
      <c r="B114" s="323"/>
      <c r="C114" s="323"/>
      <c r="D114" s="323"/>
      <c r="E114" s="323"/>
      <c r="F114" s="323"/>
      <c r="G114" s="323"/>
      <c r="H114" s="323"/>
      <c r="I114" s="323"/>
      <c r="J114" s="323"/>
      <c r="K114" s="323"/>
      <c r="L114" s="323"/>
      <c r="M114" s="323"/>
      <c r="N114" s="323"/>
      <c r="O114" s="323"/>
      <c r="P114" s="323"/>
      <c r="Q114" s="323"/>
      <c r="R114" s="323"/>
      <c r="S114" s="323"/>
    </row>
    <row r="115" spans="1:19" s="322" customFormat="1" ht="20.100000000000001" customHeight="1" x14ac:dyDescent="0.2">
      <c r="A115" s="321"/>
      <c r="B115" s="323"/>
      <c r="C115" s="323"/>
      <c r="D115" s="323"/>
      <c r="E115" s="323"/>
      <c r="F115" s="323"/>
      <c r="G115" s="323"/>
      <c r="H115" s="323"/>
      <c r="I115" s="323"/>
      <c r="J115" s="323"/>
      <c r="K115" s="323"/>
      <c r="L115" s="323"/>
      <c r="M115" s="323"/>
      <c r="N115" s="323"/>
      <c r="O115" s="323"/>
      <c r="P115" s="323"/>
      <c r="Q115" s="323"/>
      <c r="R115" s="323"/>
      <c r="S115" s="323"/>
    </row>
    <row r="116" spans="1:19" s="322" customFormat="1" ht="20.100000000000001" customHeight="1" x14ac:dyDescent="0.2">
      <c r="A116" s="321"/>
      <c r="B116" s="323"/>
      <c r="C116" s="323"/>
      <c r="D116" s="323"/>
      <c r="E116" s="323"/>
      <c r="F116" s="323"/>
      <c r="G116" s="323"/>
      <c r="H116" s="323"/>
      <c r="I116" s="323"/>
      <c r="J116" s="323"/>
      <c r="K116" s="323"/>
      <c r="L116" s="323"/>
      <c r="M116" s="323"/>
      <c r="N116" s="323"/>
      <c r="O116" s="323"/>
      <c r="P116" s="323"/>
      <c r="Q116" s="323"/>
      <c r="R116" s="323"/>
      <c r="S116" s="323"/>
    </row>
    <row r="117" spans="1:19" s="322" customFormat="1" ht="20.100000000000001" customHeight="1" x14ac:dyDescent="0.2">
      <c r="A117" s="321"/>
      <c r="B117" s="323"/>
      <c r="C117" s="323"/>
      <c r="D117" s="323"/>
      <c r="E117" s="323"/>
      <c r="F117" s="323"/>
      <c r="G117" s="323"/>
      <c r="H117" s="323"/>
      <c r="I117" s="323"/>
      <c r="J117" s="323"/>
      <c r="K117" s="323"/>
      <c r="L117" s="323"/>
      <c r="M117" s="323"/>
      <c r="N117" s="323"/>
      <c r="O117" s="323"/>
      <c r="P117" s="323"/>
      <c r="Q117" s="323"/>
      <c r="R117" s="323"/>
      <c r="S117" s="323"/>
    </row>
    <row r="118" spans="1:19" s="322" customFormat="1" ht="20.100000000000001" customHeight="1" x14ac:dyDescent="0.2">
      <c r="A118" s="321"/>
      <c r="B118" s="323"/>
      <c r="C118" s="323"/>
      <c r="D118" s="323"/>
      <c r="E118" s="323"/>
      <c r="F118" s="323"/>
      <c r="G118" s="323"/>
      <c r="H118" s="323"/>
      <c r="I118" s="323"/>
      <c r="J118" s="323"/>
      <c r="K118" s="323"/>
      <c r="L118" s="323"/>
      <c r="M118" s="323"/>
      <c r="N118" s="323"/>
      <c r="O118" s="323"/>
      <c r="P118" s="323"/>
      <c r="Q118" s="323"/>
      <c r="R118" s="323"/>
      <c r="S118" s="323"/>
    </row>
    <row r="119" spans="1:19" s="322" customFormat="1" ht="20.100000000000001" customHeight="1" x14ac:dyDescent="0.2">
      <c r="A119" s="321"/>
      <c r="B119" s="323"/>
      <c r="C119" s="323"/>
      <c r="D119" s="323"/>
      <c r="E119" s="323"/>
      <c r="F119" s="323"/>
      <c r="G119" s="323"/>
      <c r="H119" s="323"/>
      <c r="I119" s="323"/>
      <c r="J119" s="323"/>
      <c r="K119" s="323"/>
      <c r="L119" s="323"/>
      <c r="M119" s="323"/>
      <c r="N119" s="323"/>
      <c r="O119" s="323"/>
      <c r="P119" s="323"/>
      <c r="Q119" s="323"/>
      <c r="R119" s="323"/>
      <c r="S119" s="323"/>
    </row>
    <row r="120" spans="1:19" s="322" customFormat="1" ht="20.100000000000001" customHeight="1" x14ac:dyDescent="0.2">
      <c r="A120" s="321"/>
      <c r="B120" s="323"/>
      <c r="C120" s="323"/>
      <c r="D120" s="323"/>
      <c r="E120" s="323"/>
      <c r="F120" s="323"/>
      <c r="G120" s="323"/>
      <c r="H120" s="323"/>
      <c r="I120" s="323"/>
      <c r="J120" s="323"/>
      <c r="K120" s="323"/>
      <c r="L120" s="323"/>
      <c r="M120" s="323"/>
      <c r="N120" s="323"/>
      <c r="O120" s="323"/>
      <c r="P120" s="323"/>
      <c r="Q120" s="323"/>
      <c r="R120" s="323"/>
      <c r="S120" s="323"/>
    </row>
    <row r="121" spans="1:19" s="322" customFormat="1" ht="20.100000000000001" customHeight="1" x14ac:dyDescent="0.2">
      <c r="A121" s="321"/>
      <c r="B121" s="323"/>
      <c r="C121" s="323"/>
      <c r="D121" s="323"/>
      <c r="E121" s="323"/>
      <c r="F121" s="323"/>
      <c r="G121" s="323"/>
      <c r="H121" s="323"/>
      <c r="I121" s="323"/>
      <c r="J121" s="323"/>
      <c r="K121" s="323"/>
      <c r="L121" s="323"/>
      <c r="M121" s="323"/>
      <c r="N121" s="323"/>
      <c r="O121" s="323"/>
      <c r="P121" s="323"/>
      <c r="Q121" s="323"/>
      <c r="R121" s="323"/>
      <c r="S121" s="323"/>
    </row>
    <row r="122" spans="1:19" s="322" customFormat="1" ht="20.100000000000001" customHeight="1" x14ac:dyDescent="0.2">
      <c r="A122" s="321"/>
      <c r="B122" s="323"/>
      <c r="C122" s="323"/>
      <c r="D122" s="323"/>
      <c r="E122" s="323"/>
      <c r="F122" s="323"/>
      <c r="G122" s="323"/>
      <c r="H122" s="323"/>
      <c r="I122" s="323"/>
      <c r="J122" s="323"/>
      <c r="K122" s="323"/>
      <c r="L122" s="323"/>
      <c r="M122" s="323"/>
      <c r="N122" s="323"/>
      <c r="O122" s="323"/>
      <c r="P122" s="323"/>
      <c r="Q122" s="323"/>
      <c r="R122" s="323"/>
      <c r="S122" s="323"/>
    </row>
    <row r="123" spans="1:19" s="322" customFormat="1" ht="20.100000000000001" customHeight="1" x14ac:dyDescent="0.2">
      <c r="A123" s="321"/>
      <c r="B123" s="323"/>
      <c r="C123" s="323"/>
      <c r="D123" s="323"/>
      <c r="E123" s="323"/>
      <c r="F123" s="323"/>
      <c r="G123" s="323"/>
      <c r="H123" s="323"/>
      <c r="I123" s="323"/>
      <c r="J123" s="323"/>
      <c r="K123" s="323"/>
      <c r="L123" s="323"/>
      <c r="M123" s="323"/>
      <c r="N123" s="323"/>
      <c r="O123" s="323"/>
      <c r="P123" s="323"/>
      <c r="Q123" s="323"/>
      <c r="R123" s="323"/>
      <c r="S123" s="323"/>
    </row>
    <row r="124" spans="1:19" s="322" customFormat="1" ht="20.100000000000001" customHeight="1" x14ac:dyDescent="0.2">
      <c r="A124" s="321"/>
      <c r="B124" s="323"/>
      <c r="C124" s="323"/>
      <c r="D124" s="323"/>
      <c r="E124" s="323"/>
      <c r="F124" s="323"/>
      <c r="G124" s="323"/>
      <c r="H124" s="323"/>
      <c r="I124" s="323"/>
      <c r="J124" s="323"/>
      <c r="K124" s="323"/>
      <c r="L124" s="323"/>
      <c r="M124" s="323"/>
      <c r="N124" s="323"/>
      <c r="O124" s="323"/>
      <c r="P124" s="323"/>
      <c r="Q124" s="323"/>
      <c r="R124" s="323"/>
      <c r="S124" s="323"/>
    </row>
    <row r="125" spans="1:19" s="322" customFormat="1" ht="20.100000000000001" customHeight="1" x14ac:dyDescent="0.2">
      <c r="A125" s="321"/>
      <c r="B125" s="323"/>
      <c r="C125" s="323"/>
      <c r="D125" s="323"/>
      <c r="E125" s="323"/>
      <c r="F125" s="323"/>
      <c r="G125" s="323"/>
      <c r="H125" s="323"/>
      <c r="I125" s="323"/>
      <c r="J125" s="323"/>
      <c r="K125" s="323"/>
      <c r="L125" s="323"/>
      <c r="M125" s="323"/>
      <c r="N125" s="323"/>
      <c r="O125" s="323"/>
      <c r="P125" s="323"/>
      <c r="Q125" s="323"/>
      <c r="R125" s="323"/>
      <c r="S125" s="323"/>
    </row>
    <row r="126" spans="1:19" s="322" customFormat="1" ht="20.100000000000001" customHeight="1" x14ac:dyDescent="0.2">
      <c r="A126" s="321"/>
      <c r="B126" s="323"/>
      <c r="C126" s="323"/>
      <c r="D126" s="323"/>
      <c r="E126" s="323"/>
      <c r="F126" s="323"/>
      <c r="G126" s="323"/>
      <c r="H126" s="323"/>
      <c r="I126" s="323"/>
      <c r="J126" s="323"/>
      <c r="K126" s="323"/>
      <c r="L126" s="323"/>
      <c r="M126" s="323"/>
      <c r="N126" s="323"/>
      <c r="O126" s="323"/>
      <c r="P126" s="323"/>
      <c r="Q126" s="323"/>
      <c r="R126" s="323"/>
      <c r="S126" s="323"/>
    </row>
    <row r="127" spans="1:19" s="322" customFormat="1" ht="20.100000000000001" customHeight="1" x14ac:dyDescent="0.2">
      <c r="A127" s="321"/>
      <c r="B127" s="323"/>
      <c r="C127" s="323"/>
      <c r="D127" s="323"/>
      <c r="E127" s="323"/>
      <c r="F127" s="323"/>
      <c r="G127" s="323"/>
      <c r="H127" s="323"/>
      <c r="I127" s="323"/>
      <c r="J127" s="323"/>
      <c r="K127" s="323"/>
      <c r="L127" s="323"/>
      <c r="M127" s="323"/>
      <c r="N127" s="323"/>
      <c r="O127" s="323"/>
      <c r="P127" s="323"/>
      <c r="Q127" s="323"/>
      <c r="R127" s="323"/>
      <c r="S127" s="323"/>
    </row>
    <row r="128" spans="1:19" s="322" customFormat="1" ht="20.100000000000001" customHeight="1" x14ac:dyDescent="0.2">
      <c r="A128" s="321"/>
      <c r="B128" s="323"/>
      <c r="C128" s="323"/>
      <c r="D128" s="323"/>
      <c r="E128" s="323"/>
      <c r="F128" s="323"/>
      <c r="G128" s="323"/>
      <c r="H128" s="323"/>
      <c r="I128" s="323"/>
      <c r="J128" s="323"/>
      <c r="K128" s="323"/>
      <c r="L128" s="323"/>
      <c r="M128" s="323"/>
      <c r="N128" s="323"/>
      <c r="O128" s="323"/>
      <c r="P128" s="323"/>
      <c r="Q128" s="323"/>
      <c r="R128" s="323"/>
      <c r="S128" s="323"/>
    </row>
    <row r="129" spans="1:19" s="322" customFormat="1" ht="20.100000000000001" customHeight="1" x14ac:dyDescent="0.2">
      <c r="A129" s="321"/>
      <c r="B129" s="323"/>
      <c r="C129" s="323"/>
      <c r="D129" s="323"/>
      <c r="E129" s="323"/>
      <c r="F129" s="323"/>
      <c r="G129" s="323"/>
      <c r="H129" s="323"/>
      <c r="I129" s="323"/>
      <c r="J129" s="323"/>
      <c r="K129" s="323"/>
      <c r="L129" s="323"/>
      <c r="M129" s="323"/>
      <c r="N129" s="323"/>
      <c r="O129" s="323"/>
      <c r="P129" s="323"/>
      <c r="Q129" s="323"/>
      <c r="R129" s="323"/>
      <c r="S129" s="323"/>
    </row>
    <row r="130" spans="1:19" s="322" customFormat="1" ht="19.899999999999999" customHeight="1" x14ac:dyDescent="0.2">
      <c r="A130" s="321"/>
      <c r="B130" s="323"/>
      <c r="C130" s="323"/>
      <c r="D130" s="323"/>
      <c r="E130" s="323"/>
      <c r="F130" s="323"/>
      <c r="G130" s="323"/>
      <c r="H130" s="323"/>
      <c r="I130" s="323"/>
      <c r="J130" s="323"/>
      <c r="K130" s="323"/>
      <c r="L130" s="323"/>
      <c r="M130" s="323"/>
      <c r="N130" s="323"/>
      <c r="O130" s="323"/>
      <c r="P130" s="323"/>
      <c r="Q130" s="323"/>
      <c r="R130" s="323"/>
      <c r="S130" s="323"/>
    </row>
    <row r="131" spans="1:19" s="322" customFormat="1" ht="20.100000000000001" customHeight="1" x14ac:dyDescent="0.2">
      <c r="A131" s="321"/>
      <c r="B131" s="323"/>
      <c r="C131" s="323"/>
      <c r="D131" s="323"/>
      <c r="E131" s="323"/>
      <c r="F131" s="323"/>
      <c r="G131" s="323"/>
      <c r="H131" s="323"/>
      <c r="I131" s="323"/>
      <c r="J131" s="323"/>
      <c r="K131" s="323"/>
      <c r="L131" s="323"/>
      <c r="M131" s="323"/>
      <c r="N131" s="323"/>
      <c r="O131" s="323"/>
      <c r="P131" s="323"/>
      <c r="Q131" s="323"/>
      <c r="R131" s="323"/>
      <c r="S131" s="323"/>
    </row>
    <row r="132" spans="1:19" s="322" customFormat="1" ht="20.100000000000001" customHeight="1" x14ac:dyDescent="0.2">
      <c r="A132" s="321"/>
      <c r="B132" s="323"/>
      <c r="C132" s="323"/>
      <c r="D132" s="323"/>
      <c r="E132" s="323"/>
      <c r="F132" s="323"/>
      <c r="G132" s="323"/>
      <c r="H132" s="323"/>
      <c r="I132" s="323"/>
      <c r="J132" s="323"/>
      <c r="K132" s="323"/>
      <c r="L132" s="323"/>
      <c r="M132" s="323"/>
      <c r="N132" s="323"/>
      <c r="O132" s="323"/>
      <c r="P132" s="323"/>
      <c r="Q132" s="323"/>
      <c r="R132" s="323"/>
      <c r="S132" s="323"/>
    </row>
    <row r="133" spans="1:19" s="322" customFormat="1" ht="20.100000000000001" customHeight="1" x14ac:dyDescent="0.2">
      <c r="A133" s="321"/>
      <c r="B133" s="323"/>
      <c r="C133" s="323"/>
      <c r="D133" s="323"/>
      <c r="E133" s="323"/>
      <c r="F133" s="323"/>
      <c r="G133" s="323"/>
      <c r="H133" s="323"/>
      <c r="I133" s="323"/>
      <c r="J133" s="323"/>
      <c r="K133" s="323"/>
      <c r="L133" s="323"/>
      <c r="M133" s="323"/>
      <c r="N133" s="323"/>
      <c r="O133" s="323"/>
      <c r="P133" s="323"/>
      <c r="Q133" s="323"/>
      <c r="R133" s="323"/>
      <c r="S133" s="323"/>
    </row>
    <row r="134" spans="1:19" s="322" customFormat="1" ht="20.100000000000001" customHeight="1" x14ac:dyDescent="0.2">
      <c r="A134" s="321"/>
      <c r="B134" s="323"/>
      <c r="C134" s="323"/>
      <c r="D134" s="323"/>
      <c r="E134" s="323"/>
      <c r="F134" s="323"/>
      <c r="G134" s="323"/>
      <c r="H134" s="323"/>
      <c r="I134" s="323"/>
      <c r="J134" s="323"/>
      <c r="K134" s="323"/>
      <c r="L134" s="323"/>
      <c r="M134" s="323"/>
      <c r="N134" s="323"/>
      <c r="O134" s="323"/>
      <c r="P134" s="323"/>
      <c r="Q134" s="323"/>
      <c r="R134" s="323"/>
      <c r="S134" s="323"/>
    </row>
    <row r="135" spans="1:19" s="322" customFormat="1" ht="20.100000000000001" customHeight="1" x14ac:dyDescent="0.2">
      <c r="A135" s="321"/>
      <c r="B135" s="323"/>
      <c r="C135" s="323"/>
      <c r="D135" s="323"/>
      <c r="E135" s="323"/>
      <c r="F135" s="323"/>
      <c r="G135" s="323"/>
      <c r="H135" s="323"/>
      <c r="I135" s="323"/>
      <c r="J135" s="323"/>
      <c r="K135" s="323"/>
      <c r="L135" s="323"/>
      <c r="M135" s="323"/>
      <c r="N135" s="323"/>
      <c r="O135" s="323"/>
      <c r="P135" s="323"/>
      <c r="Q135" s="323"/>
      <c r="R135" s="323"/>
      <c r="S135" s="323"/>
    </row>
    <row r="136" spans="1:19" s="322" customFormat="1" ht="20.100000000000001" customHeight="1" x14ac:dyDescent="0.2">
      <c r="A136" s="321"/>
      <c r="B136" s="323"/>
      <c r="C136" s="323"/>
      <c r="D136" s="323"/>
      <c r="E136" s="323"/>
      <c r="F136" s="323"/>
      <c r="G136" s="323"/>
      <c r="H136" s="323"/>
      <c r="I136" s="323"/>
      <c r="J136" s="323"/>
      <c r="K136" s="323"/>
      <c r="L136" s="323"/>
      <c r="M136" s="323"/>
      <c r="N136" s="323"/>
      <c r="O136" s="323"/>
      <c r="P136" s="323"/>
      <c r="Q136" s="323"/>
      <c r="R136" s="323"/>
      <c r="S136" s="323"/>
    </row>
    <row r="137" spans="1:19" s="322" customFormat="1" ht="20.100000000000001" customHeight="1" x14ac:dyDescent="0.2">
      <c r="A137" s="321"/>
      <c r="B137" s="323"/>
      <c r="C137" s="323"/>
      <c r="D137" s="323"/>
      <c r="E137" s="323"/>
      <c r="F137" s="323"/>
      <c r="G137" s="323"/>
      <c r="H137" s="323"/>
      <c r="I137" s="323"/>
      <c r="J137" s="323"/>
      <c r="K137" s="323"/>
      <c r="L137" s="323"/>
      <c r="M137" s="323"/>
      <c r="N137" s="323"/>
      <c r="O137" s="323"/>
      <c r="P137" s="323"/>
      <c r="Q137" s="323"/>
      <c r="R137" s="323"/>
      <c r="S137" s="323"/>
    </row>
    <row r="138" spans="1:19" s="322" customFormat="1" ht="20.100000000000001" customHeight="1" x14ac:dyDescent="0.2">
      <c r="A138" s="321"/>
      <c r="B138" s="323"/>
      <c r="C138" s="323"/>
      <c r="D138" s="323"/>
      <c r="E138" s="323"/>
      <c r="F138" s="323"/>
      <c r="G138" s="323"/>
      <c r="H138" s="323"/>
      <c r="I138" s="323"/>
      <c r="J138" s="323"/>
      <c r="K138" s="323"/>
      <c r="L138" s="323"/>
      <c r="M138" s="323"/>
      <c r="N138" s="323"/>
      <c r="O138" s="323"/>
      <c r="P138" s="323"/>
      <c r="Q138" s="323"/>
      <c r="R138" s="323"/>
      <c r="S138" s="323"/>
    </row>
    <row r="139" spans="1:19" s="322" customFormat="1" ht="20.100000000000001" customHeight="1" x14ac:dyDescent="0.2">
      <c r="A139" s="321"/>
      <c r="B139" s="323"/>
      <c r="C139" s="323"/>
      <c r="D139" s="323"/>
      <c r="E139" s="323"/>
      <c r="F139" s="323"/>
      <c r="G139" s="323"/>
      <c r="H139" s="323"/>
      <c r="I139" s="323"/>
      <c r="J139" s="323"/>
      <c r="K139" s="323"/>
      <c r="L139" s="323"/>
      <c r="M139" s="323"/>
      <c r="N139" s="323"/>
      <c r="O139" s="323"/>
      <c r="P139" s="323"/>
      <c r="Q139" s="323"/>
      <c r="R139" s="323"/>
      <c r="S139" s="323"/>
    </row>
    <row r="140" spans="1:19" s="322" customFormat="1" ht="20.100000000000001" customHeight="1" x14ac:dyDescent="0.2">
      <c r="A140" s="321"/>
      <c r="B140" s="323"/>
      <c r="C140" s="323"/>
      <c r="D140" s="323"/>
      <c r="E140" s="323"/>
      <c r="F140" s="323"/>
      <c r="G140" s="323"/>
      <c r="H140" s="323"/>
      <c r="I140" s="323"/>
      <c r="J140" s="323"/>
      <c r="K140" s="323"/>
      <c r="L140" s="323"/>
      <c r="M140" s="323"/>
      <c r="N140" s="323"/>
      <c r="O140" s="323"/>
      <c r="P140" s="323"/>
      <c r="Q140" s="323"/>
      <c r="R140" s="323"/>
      <c r="S140" s="323"/>
    </row>
    <row r="141" spans="1:19" s="322" customFormat="1" ht="20.100000000000001" customHeight="1" x14ac:dyDescent="0.2">
      <c r="A141" s="321"/>
      <c r="B141" s="323"/>
      <c r="C141" s="323"/>
      <c r="D141" s="323"/>
      <c r="E141" s="323"/>
      <c r="F141" s="323"/>
      <c r="G141" s="323"/>
      <c r="H141" s="323"/>
      <c r="I141" s="323"/>
      <c r="J141" s="323"/>
      <c r="K141" s="323"/>
      <c r="L141" s="323"/>
      <c r="M141" s="323"/>
      <c r="N141" s="323"/>
      <c r="O141" s="323"/>
      <c r="P141" s="323"/>
      <c r="Q141" s="323"/>
      <c r="R141" s="323"/>
      <c r="S141" s="323"/>
    </row>
    <row r="142" spans="1:19" s="322" customFormat="1" ht="20.100000000000001" customHeight="1" x14ac:dyDescent="0.2">
      <c r="A142" s="321"/>
      <c r="B142" s="323"/>
      <c r="C142" s="323"/>
      <c r="D142" s="323"/>
      <c r="E142" s="323"/>
      <c r="F142" s="323"/>
      <c r="G142" s="323"/>
      <c r="H142" s="323"/>
      <c r="I142" s="323"/>
      <c r="J142" s="323"/>
      <c r="K142" s="323"/>
      <c r="L142" s="323"/>
      <c r="M142" s="323"/>
      <c r="N142" s="323"/>
      <c r="O142" s="323"/>
      <c r="P142" s="323"/>
      <c r="Q142" s="323"/>
      <c r="R142" s="323"/>
      <c r="S142" s="323"/>
    </row>
    <row r="143" spans="1:19" s="322" customFormat="1" ht="20.100000000000001" customHeight="1" x14ac:dyDescent="0.2">
      <c r="A143" s="321"/>
      <c r="B143" s="323"/>
      <c r="C143" s="323"/>
      <c r="D143" s="323"/>
      <c r="E143" s="323"/>
      <c r="F143" s="323"/>
      <c r="G143" s="323"/>
      <c r="H143" s="323"/>
      <c r="I143" s="323"/>
      <c r="J143" s="323"/>
      <c r="K143" s="323"/>
      <c r="L143" s="323"/>
      <c r="M143" s="323"/>
      <c r="N143" s="323"/>
      <c r="O143" s="323"/>
      <c r="P143" s="323"/>
      <c r="Q143" s="323"/>
      <c r="R143" s="323"/>
      <c r="S143" s="323"/>
    </row>
    <row r="144" spans="1:19" s="322" customFormat="1" ht="20.100000000000001" customHeight="1" x14ac:dyDescent="0.2">
      <c r="A144" s="321"/>
      <c r="B144" s="323"/>
      <c r="C144" s="323"/>
      <c r="D144" s="323"/>
      <c r="E144" s="323"/>
      <c r="F144" s="323"/>
      <c r="G144" s="323"/>
      <c r="H144" s="323"/>
      <c r="I144" s="323"/>
      <c r="J144" s="323"/>
      <c r="K144" s="323"/>
      <c r="L144" s="323"/>
      <c r="M144" s="323"/>
      <c r="N144" s="323"/>
      <c r="O144" s="323"/>
      <c r="P144" s="323"/>
      <c r="Q144" s="323"/>
      <c r="R144" s="323"/>
      <c r="S144" s="323"/>
    </row>
    <row r="145" spans="1:19" s="322" customFormat="1" ht="20.100000000000001" customHeight="1" x14ac:dyDescent="0.2">
      <c r="A145" s="321"/>
      <c r="B145" s="323"/>
      <c r="C145" s="323"/>
      <c r="D145" s="323"/>
      <c r="E145" s="323"/>
      <c r="F145" s="323"/>
      <c r="G145" s="323"/>
      <c r="H145" s="323"/>
      <c r="I145" s="323"/>
      <c r="J145" s="323"/>
      <c r="K145" s="323"/>
      <c r="L145" s="323"/>
      <c r="M145" s="323"/>
      <c r="N145" s="323"/>
      <c r="O145" s="323"/>
      <c r="P145" s="323"/>
      <c r="Q145" s="323"/>
      <c r="R145" s="323"/>
      <c r="S145" s="323"/>
    </row>
    <row r="146" spans="1:19" s="322" customFormat="1" ht="20.100000000000001" customHeight="1" x14ac:dyDescent="0.2">
      <c r="A146" s="321"/>
      <c r="B146" s="323"/>
      <c r="C146" s="323"/>
      <c r="D146" s="323"/>
      <c r="E146" s="323"/>
      <c r="F146" s="323"/>
      <c r="G146" s="323"/>
      <c r="H146" s="323"/>
      <c r="I146" s="323"/>
      <c r="J146" s="323"/>
      <c r="K146" s="323"/>
      <c r="L146" s="323"/>
      <c r="M146" s="323"/>
      <c r="N146" s="323"/>
      <c r="O146" s="323"/>
      <c r="P146" s="323"/>
      <c r="Q146" s="323"/>
      <c r="R146" s="323"/>
      <c r="S146" s="323"/>
    </row>
    <row r="147" spans="1:19" s="322" customFormat="1" ht="20.100000000000001" customHeight="1" x14ac:dyDescent="0.2">
      <c r="A147" s="321"/>
      <c r="B147" s="323"/>
      <c r="C147" s="323"/>
      <c r="D147" s="323"/>
      <c r="E147" s="323"/>
      <c r="F147" s="323"/>
      <c r="G147" s="323"/>
      <c r="H147" s="323"/>
      <c r="I147" s="323"/>
      <c r="J147" s="323"/>
      <c r="K147" s="323"/>
      <c r="L147" s="323"/>
      <c r="M147" s="323"/>
      <c r="N147" s="323"/>
      <c r="O147" s="323"/>
      <c r="P147" s="323"/>
      <c r="Q147" s="323"/>
      <c r="R147" s="323"/>
      <c r="S147" s="323"/>
    </row>
    <row r="148" spans="1:19" s="322" customFormat="1" ht="20.100000000000001" customHeight="1" x14ac:dyDescent="0.2">
      <c r="A148" s="321"/>
      <c r="B148" s="323"/>
      <c r="C148" s="323"/>
      <c r="D148" s="323"/>
      <c r="E148" s="323"/>
      <c r="F148" s="323"/>
      <c r="G148" s="323"/>
      <c r="H148" s="323"/>
      <c r="I148" s="323"/>
      <c r="J148" s="323"/>
      <c r="K148" s="323"/>
      <c r="L148" s="323"/>
      <c r="M148" s="323"/>
      <c r="N148" s="323"/>
      <c r="O148" s="323"/>
      <c r="P148" s="323"/>
      <c r="Q148" s="323"/>
      <c r="R148" s="323"/>
      <c r="S148" s="323"/>
    </row>
    <row r="149" spans="1:19" s="322" customFormat="1" ht="20.100000000000001" customHeight="1" x14ac:dyDescent="0.2">
      <c r="A149" s="321"/>
      <c r="B149" s="323"/>
      <c r="C149" s="323"/>
      <c r="D149" s="323"/>
      <c r="E149" s="323"/>
      <c r="F149" s="323"/>
      <c r="G149" s="323"/>
      <c r="H149" s="323"/>
      <c r="I149" s="323"/>
      <c r="J149" s="323"/>
      <c r="K149" s="323"/>
      <c r="L149" s="323"/>
      <c r="M149" s="323"/>
      <c r="N149" s="323"/>
      <c r="O149" s="323"/>
      <c r="P149" s="323"/>
      <c r="Q149" s="323"/>
      <c r="R149" s="323"/>
      <c r="S149" s="323"/>
    </row>
    <row r="150" spans="1:19" s="322" customFormat="1" ht="20.100000000000001" customHeight="1" x14ac:dyDescent="0.2">
      <c r="A150" s="321"/>
      <c r="B150" s="323"/>
      <c r="C150" s="323"/>
      <c r="D150" s="323"/>
      <c r="E150" s="323"/>
      <c r="F150" s="323"/>
      <c r="G150" s="323"/>
      <c r="H150" s="323"/>
      <c r="I150" s="323"/>
      <c r="J150" s="323"/>
      <c r="K150" s="323"/>
      <c r="L150" s="323"/>
      <c r="M150" s="323"/>
      <c r="N150" s="323"/>
      <c r="O150" s="323"/>
      <c r="P150" s="323"/>
      <c r="Q150" s="323"/>
      <c r="R150" s="323"/>
      <c r="S150" s="323"/>
    </row>
    <row r="151" spans="1:19" ht="20.100000000000001" customHeight="1" x14ac:dyDescent="0.2"/>
    <row r="152" spans="1:19" ht="9.9499999999999993" customHeight="1" x14ac:dyDescent="0.2"/>
    <row r="153" spans="1:19" ht="20.100000000000001" customHeight="1" x14ac:dyDescent="0.2"/>
    <row r="154" spans="1:19" ht="20.100000000000001" customHeight="1" x14ac:dyDescent="0.2"/>
    <row r="155" spans="1:19" ht="20.100000000000001" customHeight="1" x14ac:dyDescent="0.2"/>
    <row r="156" spans="1:19" s="322" customFormat="1" ht="20.100000000000001" customHeight="1" x14ac:dyDescent="0.2">
      <c r="A156" s="321"/>
      <c r="B156" s="323"/>
      <c r="C156" s="323"/>
      <c r="D156" s="323"/>
      <c r="E156" s="323"/>
      <c r="F156" s="323"/>
      <c r="G156" s="323"/>
      <c r="H156" s="323"/>
      <c r="I156" s="323"/>
      <c r="J156" s="323"/>
      <c r="K156" s="323"/>
      <c r="L156" s="323"/>
      <c r="M156" s="323"/>
      <c r="N156" s="323"/>
      <c r="O156" s="323"/>
      <c r="P156" s="323"/>
      <c r="Q156" s="323"/>
      <c r="R156" s="323"/>
      <c r="S156" s="323"/>
    </row>
    <row r="157" spans="1:19" s="322" customFormat="1" ht="20.100000000000001" customHeight="1" x14ac:dyDescent="0.2">
      <c r="A157" s="321"/>
      <c r="B157" s="323"/>
      <c r="C157" s="323"/>
      <c r="D157" s="323"/>
      <c r="E157" s="323"/>
      <c r="F157" s="323"/>
      <c r="G157" s="323"/>
      <c r="H157" s="323"/>
      <c r="I157" s="323"/>
      <c r="J157" s="323"/>
      <c r="K157" s="323"/>
      <c r="L157" s="323"/>
      <c r="M157" s="323"/>
      <c r="N157" s="323"/>
      <c r="O157" s="323"/>
      <c r="P157" s="323"/>
      <c r="Q157" s="323"/>
      <c r="R157" s="323"/>
      <c r="S157" s="323"/>
    </row>
    <row r="158" spans="1:19" s="322" customFormat="1" ht="20.100000000000001" customHeight="1" x14ac:dyDescent="0.2">
      <c r="A158" s="321"/>
      <c r="B158" s="323"/>
      <c r="C158" s="323"/>
      <c r="D158" s="323"/>
      <c r="E158" s="323"/>
      <c r="F158" s="323"/>
      <c r="G158" s="323"/>
      <c r="H158" s="323"/>
      <c r="I158" s="323"/>
      <c r="J158" s="323"/>
      <c r="K158" s="323"/>
      <c r="L158" s="323"/>
      <c r="M158" s="323"/>
      <c r="N158" s="323"/>
      <c r="O158" s="323"/>
      <c r="P158" s="323"/>
      <c r="Q158" s="323"/>
      <c r="R158" s="323"/>
      <c r="S158" s="323"/>
    </row>
    <row r="159" spans="1:19" s="322" customFormat="1" ht="20.100000000000001" customHeight="1" x14ac:dyDescent="0.2">
      <c r="A159" s="321"/>
      <c r="B159" s="323"/>
      <c r="C159" s="323"/>
      <c r="D159" s="323"/>
      <c r="E159" s="323"/>
      <c r="F159" s="323"/>
      <c r="G159" s="323"/>
      <c r="H159" s="323"/>
      <c r="I159" s="323"/>
      <c r="J159" s="323"/>
      <c r="K159" s="323"/>
      <c r="L159" s="323"/>
      <c r="M159" s="323"/>
      <c r="N159" s="323"/>
      <c r="O159" s="323"/>
      <c r="P159" s="323"/>
      <c r="Q159" s="323"/>
      <c r="R159" s="323"/>
      <c r="S159" s="323"/>
    </row>
    <row r="160" spans="1:19" s="322" customFormat="1" ht="20.100000000000001" customHeight="1" x14ac:dyDescent="0.2">
      <c r="A160" s="321"/>
      <c r="B160" s="323"/>
      <c r="C160" s="323"/>
      <c r="D160" s="323"/>
      <c r="E160" s="323"/>
      <c r="F160" s="323"/>
      <c r="G160" s="323"/>
      <c r="H160" s="323"/>
      <c r="I160" s="323"/>
      <c r="J160" s="323"/>
      <c r="K160" s="323"/>
      <c r="L160" s="323"/>
      <c r="M160" s="323"/>
      <c r="N160" s="323"/>
      <c r="O160" s="323"/>
      <c r="P160" s="323"/>
      <c r="Q160" s="323"/>
      <c r="R160" s="323"/>
      <c r="S160" s="323"/>
    </row>
    <row r="161" spans="1:19" s="322" customFormat="1" ht="20.100000000000001" customHeight="1" x14ac:dyDescent="0.2">
      <c r="A161" s="321"/>
      <c r="B161" s="323"/>
      <c r="C161" s="323"/>
      <c r="D161" s="323"/>
      <c r="E161" s="323"/>
      <c r="F161" s="323"/>
      <c r="G161" s="323"/>
      <c r="H161" s="323"/>
      <c r="I161" s="323"/>
      <c r="J161" s="323"/>
      <c r="K161" s="323"/>
      <c r="L161" s="323"/>
      <c r="M161" s="323"/>
      <c r="N161" s="323"/>
      <c r="O161" s="323"/>
      <c r="P161" s="323"/>
      <c r="Q161" s="323"/>
      <c r="R161" s="323"/>
      <c r="S161" s="323"/>
    </row>
    <row r="162" spans="1:19" s="322" customFormat="1" ht="20.100000000000001" customHeight="1" x14ac:dyDescent="0.2">
      <c r="A162" s="321"/>
      <c r="B162" s="323"/>
      <c r="C162" s="323"/>
      <c r="D162" s="323"/>
      <c r="E162" s="323"/>
      <c r="F162" s="323"/>
      <c r="G162" s="323"/>
      <c r="H162" s="323"/>
      <c r="I162" s="323"/>
      <c r="J162" s="323"/>
      <c r="K162" s="323"/>
      <c r="L162" s="323"/>
      <c r="M162" s="323"/>
      <c r="N162" s="323"/>
      <c r="O162" s="323"/>
      <c r="P162" s="323"/>
      <c r="Q162" s="323"/>
      <c r="R162" s="323"/>
      <c r="S162" s="323"/>
    </row>
    <row r="163" spans="1:19" s="322" customFormat="1" ht="20.100000000000001" customHeight="1" x14ac:dyDescent="0.2">
      <c r="A163" s="321"/>
      <c r="B163" s="323"/>
      <c r="C163" s="323"/>
      <c r="D163" s="323"/>
      <c r="E163" s="323"/>
      <c r="F163" s="323"/>
      <c r="G163" s="323"/>
      <c r="H163" s="323"/>
      <c r="I163" s="323"/>
      <c r="J163" s="323"/>
      <c r="K163" s="323"/>
      <c r="L163" s="323"/>
      <c r="M163" s="323"/>
      <c r="N163" s="323"/>
      <c r="O163" s="323"/>
      <c r="P163" s="323"/>
      <c r="Q163" s="323"/>
      <c r="R163" s="323"/>
      <c r="S163" s="323"/>
    </row>
    <row r="164" spans="1:19" s="322" customFormat="1" ht="20.100000000000001" customHeight="1" x14ac:dyDescent="0.2">
      <c r="A164" s="321"/>
      <c r="B164" s="323"/>
      <c r="C164" s="323"/>
      <c r="D164" s="323"/>
      <c r="E164" s="323"/>
      <c r="F164" s="323"/>
      <c r="G164" s="323"/>
      <c r="H164" s="323"/>
      <c r="I164" s="323"/>
      <c r="J164" s="323"/>
      <c r="K164" s="323"/>
      <c r="L164" s="323"/>
      <c r="M164" s="323"/>
      <c r="N164" s="323"/>
      <c r="O164" s="323"/>
      <c r="P164" s="323"/>
      <c r="Q164" s="323"/>
      <c r="R164" s="323"/>
      <c r="S164" s="323"/>
    </row>
    <row r="165" spans="1:19" s="322" customFormat="1" ht="20.100000000000001" customHeight="1" x14ac:dyDescent="0.2">
      <c r="A165" s="321"/>
      <c r="B165" s="323"/>
      <c r="C165" s="323"/>
      <c r="D165" s="323"/>
      <c r="E165" s="323"/>
      <c r="F165" s="323"/>
      <c r="G165" s="323"/>
      <c r="H165" s="323"/>
      <c r="I165" s="323"/>
      <c r="J165" s="323"/>
      <c r="K165" s="323"/>
      <c r="L165" s="323"/>
      <c r="M165" s="323"/>
      <c r="N165" s="323"/>
      <c r="O165" s="323"/>
      <c r="P165" s="323"/>
      <c r="Q165" s="323"/>
      <c r="R165" s="323"/>
      <c r="S165" s="323"/>
    </row>
    <row r="166" spans="1:19" s="322" customFormat="1" ht="20.100000000000001" customHeight="1" x14ac:dyDescent="0.2">
      <c r="A166" s="321"/>
      <c r="B166" s="323"/>
      <c r="C166" s="323"/>
      <c r="D166" s="323"/>
      <c r="E166" s="323"/>
      <c r="F166" s="323"/>
      <c r="G166" s="323"/>
      <c r="H166" s="323"/>
      <c r="I166" s="323"/>
      <c r="J166" s="323"/>
      <c r="K166" s="323"/>
      <c r="L166" s="323"/>
      <c r="M166" s="323"/>
      <c r="N166" s="323"/>
      <c r="O166" s="323"/>
      <c r="P166" s="323"/>
      <c r="Q166" s="323"/>
      <c r="R166" s="323"/>
      <c r="S166" s="323"/>
    </row>
    <row r="167" spans="1:19" s="322" customFormat="1" ht="20.100000000000001" customHeight="1" x14ac:dyDescent="0.2">
      <c r="A167" s="321"/>
      <c r="B167" s="323"/>
      <c r="C167" s="323"/>
      <c r="D167" s="323"/>
      <c r="E167" s="323"/>
      <c r="F167" s="323"/>
      <c r="G167" s="323"/>
      <c r="H167" s="323"/>
      <c r="I167" s="323"/>
      <c r="J167" s="323"/>
      <c r="K167" s="323"/>
      <c r="L167" s="323"/>
      <c r="M167" s="323"/>
      <c r="N167" s="323"/>
      <c r="O167" s="323"/>
      <c r="P167" s="323"/>
      <c r="Q167" s="323"/>
      <c r="R167" s="323"/>
      <c r="S167" s="323"/>
    </row>
    <row r="168" spans="1:19" s="322" customFormat="1" ht="20.100000000000001" customHeight="1" x14ac:dyDescent="0.2">
      <c r="A168" s="321"/>
      <c r="B168" s="323"/>
      <c r="C168" s="323"/>
      <c r="D168" s="323"/>
      <c r="E168" s="323"/>
      <c r="F168" s="323"/>
      <c r="G168" s="323"/>
      <c r="H168" s="323"/>
      <c r="I168" s="323"/>
      <c r="J168" s="323"/>
      <c r="K168" s="323"/>
      <c r="L168" s="323"/>
      <c r="M168" s="323"/>
      <c r="N168" s="323"/>
      <c r="O168" s="323"/>
      <c r="P168" s="323"/>
      <c r="Q168" s="323"/>
      <c r="R168" s="323"/>
      <c r="S168" s="323"/>
    </row>
    <row r="169" spans="1:19" s="322" customFormat="1" ht="20.100000000000001" customHeight="1" x14ac:dyDescent="0.2">
      <c r="A169" s="321"/>
      <c r="B169" s="323"/>
      <c r="C169" s="323"/>
      <c r="D169" s="323"/>
      <c r="E169" s="323"/>
      <c r="F169" s="323"/>
      <c r="G169" s="323"/>
      <c r="H169" s="323"/>
      <c r="I169" s="323"/>
      <c r="J169" s="323"/>
      <c r="K169" s="323"/>
      <c r="L169" s="323"/>
      <c r="M169" s="323"/>
      <c r="N169" s="323"/>
      <c r="O169" s="323"/>
      <c r="P169" s="323"/>
      <c r="Q169" s="323"/>
      <c r="R169" s="323"/>
      <c r="S169" s="323"/>
    </row>
    <row r="170" spans="1:19" s="322" customFormat="1" ht="20.100000000000001" customHeight="1" x14ac:dyDescent="0.2">
      <c r="A170" s="321"/>
      <c r="B170" s="323"/>
      <c r="C170" s="323"/>
      <c r="D170" s="323"/>
      <c r="E170" s="323"/>
      <c r="F170" s="323"/>
      <c r="G170" s="323"/>
      <c r="H170" s="323"/>
      <c r="I170" s="323"/>
      <c r="J170" s="323"/>
      <c r="K170" s="323"/>
      <c r="L170" s="323"/>
      <c r="M170" s="323"/>
      <c r="N170" s="323"/>
      <c r="O170" s="323"/>
      <c r="P170" s="323"/>
      <c r="Q170" s="323"/>
      <c r="R170" s="323"/>
      <c r="S170" s="323"/>
    </row>
    <row r="171" spans="1:19" s="322" customFormat="1" ht="20.100000000000001" customHeight="1" x14ac:dyDescent="0.2">
      <c r="A171" s="321"/>
      <c r="B171" s="323"/>
      <c r="C171" s="323"/>
      <c r="D171" s="323"/>
      <c r="E171" s="323"/>
      <c r="F171" s="323"/>
      <c r="G171" s="323"/>
      <c r="H171" s="323"/>
      <c r="I171" s="323"/>
      <c r="J171" s="323"/>
      <c r="K171" s="323"/>
      <c r="L171" s="323"/>
      <c r="M171" s="323"/>
      <c r="N171" s="323"/>
      <c r="O171" s="323"/>
      <c r="P171" s="323"/>
      <c r="Q171" s="323"/>
      <c r="R171" s="323"/>
      <c r="S171" s="323"/>
    </row>
    <row r="172" spans="1:19" s="322" customFormat="1" ht="20.100000000000001" customHeight="1" x14ac:dyDescent="0.2">
      <c r="A172" s="321"/>
      <c r="B172" s="323"/>
      <c r="C172" s="323"/>
      <c r="D172" s="323"/>
      <c r="E172" s="323"/>
      <c r="F172" s="323"/>
      <c r="G172" s="323"/>
      <c r="H172" s="323"/>
      <c r="I172" s="323"/>
      <c r="J172" s="323"/>
      <c r="K172" s="323"/>
      <c r="L172" s="323"/>
      <c r="M172" s="323"/>
      <c r="N172" s="323"/>
      <c r="O172" s="323"/>
      <c r="P172" s="323"/>
      <c r="Q172" s="323"/>
      <c r="R172" s="323"/>
      <c r="S172" s="323"/>
    </row>
    <row r="173" spans="1:19" s="322" customFormat="1" ht="20.100000000000001" customHeight="1" x14ac:dyDescent="0.2">
      <c r="A173" s="321"/>
      <c r="B173" s="323"/>
      <c r="C173" s="323"/>
      <c r="D173" s="323"/>
      <c r="E173" s="323"/>
      <c r="F173" s="323"/>
      <c r="G173" s="323"/>
      <c r="H173" s="323"/>
      <c r="I173" s="323"/>
      <c r="J173" s="323"/>
      <c r="K173" s="323"/>
      <c r="L173" s="323"/>
      <c r="M173" s="323"/>
      <c r="N173" s="323"/>
      <c r="O173" s="323"/>
      <c r="P173" s="323"/>
      <c r="Q173" s="323"/>
      <c r="R173" s="323"/>
      <c r="S173" s="323"/>
    </row>
    <row r="174" spans="1:19" s="322" customFormat="1" ht="20.100000000000001" customHeight="1" x14ac:dyDescent="0.2">
      <c r="A174" s="321"/>
      <c r="B174" s="323"/>
      <c r="C174" s="323"/>
      <c r="D174" s="323"/>
      <c r="E174" s="323"/>
      <c r="F174" s="323"/>
      <c r="G174" s="323"/>
      <c r="H174" s="323"/>
      <c r="I174" s="323"/>
      <c r="J174" s="323"/>
      <c r="K174" s="323"/>
      <c r="L174" s="323"/>
      <c r="M174" s="323"/>
      <c r="N174" s="323"/>
      <c r="O174" s="323"/>
      <c r="P174" s="323"/>
      <c r="Q174" s="323"/>
      <c r="R174" s="323"/>
      <c r="S174" s="323"/>
    </row>
    <row r="175" spans="1:19" s="322" customFormat="1" ht="20.100000000000001" customHeight="1" x14ac:dyDescent="0.2">
      <c r="A175" s="321"/>
      <c r="B175" s="323"/>
      <c r="C175" s="323"/>
      <c r="D175" s="323"/>
      <c r="E175" s="323"/>
      <c r="F175" s="323"/>
      <c r="G175" s="323"/>
      <c r="H175" s="323"/>
      <c r="I175" s="323"/>
      <c r="J175" s="323"/>
      <c r="K175" s="323"/>
      <c r="L175" s="323"/>
      <c r="M175" s="323"/>
      <c r="N175" s="323"/>
      <c r="O175" s="323"/>
      <c r="P175" s="323"/>
      <c r="Q175" s="323"/>
      <c r="R175" s="323"/>
      <c r="S175" s="323"/>
    </row>
    <row r="176" spans="1:19" s="322" customFormat="1" ht="20.100000000000001" customHeight="1" x14ac:dyDescent="0.2">
      <c r="A176" s="321"/>
      <c r="B176" s="323"/>
      <c r="C176" s="323"/>
      <c r="D176" s="323"/>
      <c r="E176" s="323"/>
      <c r="F176" s="323"/>
      <c r="G176" s="323"/>
      <c r="H176" s="323"/>
      <c r="I176" s="323"/>
      <c r="J176" s="323"/>
      <c r="K176" s="323"/>
      <c r="L176" s="323"/>
      <c r="M176" s="323"/>
      <c r="N176" s="323"/>
      <c r="O176" s="323"/>
      <c r="P176" s="323"/>
      <c r="Q176" s="323"/>
      <c r="R176" s="323"/>
      <c r="S176" s="323"/>
    </row>
    <row r="177" spans="1:19" s="322" customFormat="1" ht="20.100000000000001" customHeight="1" x14ac:dyDescent="0.2">
      <c r="A177" s="321"/>
      <c r="B177" s="323"/>
      <c r="C177" s="323"/>
      <c r="D177" s="323"/>
      <c r="E177" s="323"/>
      <c r="F177" s="323"/>
      <c r="G177" s="323"/>
      <c r="H177" s="323"/>
      <c r="I177" s="323"/>
      <c r="J177" s="323"/>
      <c r="K177" s="323"/>
      <c r="L177" s="323"/>
      <c r="M177" s="323"/>
      <c r="N177" s="323"/>
      <c r="O177" s="323"/>
      <c r="P177" s="323"/>
      <c r="Q177" s="323"/>
      <c r="R177" s="323"/>
      <c r="S177" s="323"/>
    </row>
    <row r="178" spans="1:19" s="322" customFormat="1" ht="20.100000000000001" customHeight="1" x14ac:dyDescent="0.2">
      <c r="A178" s="321"/>
      <c r="B178" s="323"/>
      <c r="C178" s="323"/>
      <c r="D178" s="323"/>
      <c r="E178" s="323"/>
      <c r="F178" s="323"/>
      <c r="G178" s="323"/>
      <c r="H178" s="323"/>
      <c r="I178" s="323"/>
      <c r="J178" s="323"/>
      <c r="K178" s="323"/>
      <c r="L178" s="323"/>
      <c r="M178" s="323"/>
      <c r="N178" s="323"/>
      <c r="O178" s="323"/>
      <c r="P178" s="323"/>
      <c r="Q178" s="323"/>
      <c r="R178" s="323"/>
      <c r="S178" s="323"/>
    </row>
    <row r="179" spans="1:19" s="322" customFormat="1" ht="20.100000000000001" customHeight="1" x14ac:dyDescent="0.2">
      <c r="A179" s="321"/>
      <c r="B179" s="323"/>
      <c r="C179" s="323"/>
      <c r="D179" s="323"/>
      <c r="E179" s="323"/>
      <c r="F179" s="323"/>
      <c r="G179" s="323"/>
      <c r="H179" s="323"/>
      <c r="I179" s="323"/>
      <c r="J179" s="323"/>
      <c r="K179" s="323"/>
      <c r="L179" s="323"/>
      <c r="M179" s="323"/>
      <c r="N179" s="323"/>
      <c r="O179" s="323"/>
      <c r="P179" s="323"/>
      <c r="Q179" s="323"/>
      <c r="R179" s="323"/>
      <c r="S179" s="323"/>
    </row>
    <row r="180" spans="1:19" s="322" customFormat="1" ht="20.100000000000001" customHeight="1" x14ac:dyDescent="0.2">
      <c r="A180" s="321"/>
      <c r="B180" s="323"/>
      <c r="C180" s="323"/>
      <c r="D180" s="323"/>
      <c r="E180" s="323"/>
      <c r="F180" s="323"/>
      <c r="G180" s="323"/>
      <c r="H180" s="323"/>
      <c r="I180" s="323"/>
      <c r="J180" s="323"/>
      <c r="K180" s="323"/>
      <c r="L180" s="323"/>
      <c r="M180" s="323"/>
      <c r="N180" s="323"/>
      <c r="O180" s="323"/>
      <c r="P180" s="323"/>
      <c r="Q180" s="323"/>
      <c r="R180" s="323"/>
      <c r="S180" s="323"/>
    </row>
    <row r="181" spans="1:19" s="322" customFormat="1" ht="20.100000000000001" customHeight="1" x14ac:dyDescent="0.2">
      <c r="A181" s="321"/>
      <c r="B181" s="323"/>
      <c r="C181" s="323"/>
      <c r="D181" s="323"/>
      <c r="E181" s="323"/>
      <c r="F181" s="323"/>
      <c r="G181" s="323"/>
      <c r="H181" s="323"/>
      <c r="I181" s="323"/>
      <c r="J181" s="323"/>
      <c r="K181" s="323"/>
      <c r="L181" s="323"/>
      <c r="M181" s="323"/>
      <c r="N181" s="323"/>
      <c r="O181" s="323"/>
      <c r="P181" s="323"/>
      <c r="Q181" s="323"/>
      <c r="R181" s="323"/>
      <c r="S181" s="323"/>
    </row>
    <row r="182" spans="1:19" s="322" customFormat="1" ht="20.100000000000001" customHeight="1" x14ac:dyDescent="0.2">
      <c r="A182" s="321"/>
      <c r="B182" s="323"/>
      <c r="C182" s="323"/>
      <c r="D182" s="323"/>
      <c r="E182" s="323"/>
      <c r="F182" s="323"/>
      <c r="G182" s="323"/>
      <c r="H182" s="323"/>
      <c r="I182" s="323"/>
      <c r="J182" s="323"/>
      <c r="K182" s="323"/>
      <c r="L182" s="323"/>
      <c r="M182" s="323"/>
      <c r="N182" s="323"/>
      <c r="O182" s="323"/>
      <c r="P182" s="323"/>
      <c r="Q182" s="323"/>
      <c r="R182" s="323"/>
      <c r="S182" s="323"/>
    </row>
    <row r="183" spans="1:19" s="322" customFormat="1" ht="20.100000000000001" customHeight="1" x14ac:dyDescent="0.2">
      <c r="A183" s="321"/>
      <c r="B183" s="323"/>
      <c r="C183" s="323"/>
      <c r="D183" s="323"/>
      <c r="E183" s="323"/>
      <c r="F183" s="323"/>
      <c r="G183" s="323"/>
      <c r="H183" s="323"/>
      <c r="I183" s="323"/>
      <c r="J183" s="323"/>
      <c r="K183" s="323"/>
      <c r="L183" s="323"/>
      <c r="M183" s="323"/>
      <c r="N183" s="323"/>
      <c r="O183" s="323"/>
      <c r="P183" s="323"/>
      <c r="Q183" s="323"/>
      <c r="R183" s="323"/>
      <c r="S183" s="323"/>
    </row>
    <row r="184" spans="1:19" s="322" customFormat="1" ht="20.100000000000001" customHeight="1" x14ac:dyDescent="0.2">
      <c r="A184" s="321"/>
      <c r="B184" s="323"/>
      <c r="C184" s="323"/>
      <c r="D184" s="323"/>
      <c r="E184" s="323"/>
      <c r="F184" s="323"/>
      <c r="G184" s="323"/>
      <c r="H184" s="323"/>
      <c r="I184" s="323"/>
      <c r="J184" s="323"/>
      <c r="K184" s="323"/>
      <c r="L184" s="323"/>
      <c r="M184" s="323"/>
      <c r="N184" s="323"/>
      <c r="O184" s="323"/>
      <c r="P184" s="323"/>
      <c r="Q184" s="323"/>
      <c r="R184" s="323"/>
      <c r="S184" s="323"/>
    </row>
    <row r="185" spans="1:19" s="322" customFormat="1" ht="20.100000000000001" customHeight="1" x14ac:dyDescent="0.2">
      <c r="A185" s="321"/>
      <c r="B185" s="323"/>
      <c r="C185" s="323"/>
      <c r="D185" s="323"/>
      <c r="E185" s="323"/>
      <c r="F185" s="323"/>
      <c r="G185" s="323"/>
      <c r="H185" s="323"/>
      <c r="I185" s="323"/>
      <c r="J185" s="323"/>
      <c r="K185" s="323"/>
      <c r="L185" s="323"/>
      <c r="M185" s="323"/>
      <c r="N185" s="323"/>
      <c r="O185" s="323"/>
      <c r="P185" s="323"/>
      <c r="Q185" s="323"/>
      <c r="R185" s="323"/>
      <c r="S185" s="323"/>
    </row>
    <row r="186" spans="1:19" s="322" customFormat="1" ht="20.100000000000001" customHeight="1" x14ac:dyDescent="0.2">
      <c r="A186" s="321"/>
      <c r="B186" s="323"/>
      <c r="C186" s="323"/>
      <c r="D186" s="323"/>
      <c r="E186" s="323"/>
      <c r="F186" s="323"/>
      <c r="G186" s="323"/>
      <c r="H186" s="323"/>
      <c r="I186" s="323"/>
      <c r="J186" s="323"/>
      <c r="K186" s="323"/>
      <c r="L186" s="323"/>
      <c r="M186" s="323"/>
      <c r="N186" s="323"/>
      <c r="O186" s="323"/>
      <c r="P186" s="323"/>
      <c r="Q186" s="323"/>
      <c r="R186" s="323"/>
      <c r="S186" s="323"/>
    </row>
    <row r="187" spans="1:19" s="322" customFormat="1" ht="20.100000000000001" customHeight="1" x14ac:dyDescent="0.2">
      <c r="A187" s="321"/>
      <c r="B187" s="323"/>
      <c r="C187" s="323"/>
      <c r="D187" s="323"/>
      <c r="E187" s="323"/>
      <c r="F187" s="323"/>
      <c r="G187" s="323"/>
      <c r="H187" s="323"/>
      <c r="I187" s="323"/>
      <c r="J187" s="323"/>
      <c r="K187" s="323"/>
      <c r="L187" s="323"/>
      <c r="M187" s="323"/>
      <c r="N187" s="323"/>
      <c r="O187" s="323"/>
      <c r="P187" s="323"/>
      <c r="Q187" s="323"/>
      <c r="R187" s="323"/>
      <c r="S187" s="323"/>
    </row>
    <row r="188" spans="1:19" s="322" customFormat="1" ht="20.100000000000001" customHeight="1" x14ac:dyDescent="0.2">
      <c r="A188" s="321"/>
      <c r="B188" s="323"/>
      <c r="C188" s="323"/>
      <c r="D188" s="323"/>
      <c r="E188" s="323"/>
      <c r="F188" s="323"/>
      <c r="G188" s="323"/>
      <c r="H188" s="323"/>
      <c r="I188" s="323"/>
      <c r="J188" s="323"/>
      <c r="K188" s="323"/>
      <c r="L188" s="323"/>
      <c r="M188" s="323"/>
      <c r="N188" s="323"/>
      <c r="O188" s="323"/>
      <c r="P188" s="323"/>
      <c r="Q188" s="323"/>
      <c r="R188" s="323"/>
      <c r="S188" s="323"/>
    </row>
    <row r="189" spans="1:19" s="322" customFormat="1" ht="20.100000000000001" customHeight="1" x14ac:dyDescent="0.2">
      <c r="A189" s="321"/>
      <c r="B189" s="323"/>
      <c r="C189" s="323"/>
      <c r="D189" s="323"/>
      <c r="E189" s="323"/>
      <c r="F189" s="323"/>
      <c r="G189" s="323"/>
      <c r="H189" s="323"/>
      <c r="I189" s="323"/>
      <c r="J189" s="323"/>
      <c r="K189" s="323"/>
      <c r="L189" s="323"/>
      <c r="M189" s="323"/>
      <c r="N189" s="323"/>
      <c r="O189" s="323"/>
      <c r="P189" s="323"/>
      <c r="Q189" s="323"/>
      <c r="R189" s="323"/>
      <c r="S189" s="323"/>
    </row>
    <row r="190" spans="1:19" s="322" customFormat="1" ht="20.100000000000001" customHeight="1" x14ac:dyDescent="0.2">
      <c r="A190" s="321"/>
      <c r="B190" s="323"/>
      <c r="C190" s="323"/>
      <c r="D190" s="323"/>
      <c r="E190" s="323"/>
      <c r="F190" s="323"/>
      <c r="G190" s="323"/>
      <c r="H190" s="323"/>
      <c r="I190" s="323"/>
      <c r="J190" s="323"/>
      <c r="K190" s="323"/>
      <c r="L190" s="323"/>
      <c r="M190" s="323"/>
      <c r="N190" s="323"/>
      <c r="O190" s="323"/>
      <c r="P190" s="323"/>
      <c r="Q190" s="323"/>
      <c r="R190" s="323"/>
      <c r="S190" s="323"/>
    </row>
    <row r="191" spans="1:19" s="322" customFormat="1" ht="20.100000000000001" customHeight="1" x14ac:dyDescent="0.2">
      <c r="A191" s="321"/>
      <c r="B191" s="323"/>
      <c r="C191" s="323"/>
      <c r="D191" s="323"/>
      <c r="E191" s="323"/>
      <c r="F191" s="323"/>
      <c r="G191" s="323"/>
      <c r="H191" s="323"/>
      <c r="I191" s="323"/>
      <c r="J191" s="323"/>
      <c r="K191" s="323"/>
      <c r="L191" s="323"/>
      <c r="M191" s="323"/>
      <c r="N191" s="323"/>
      <c r="O191" s="323"/>
      <c r="P191" s="323"/>
      <c r="Q191" s="323"/>
      <c r="R191" s="323"/>
      <c r="S191" s="323"/>
    </row>
    <row r="192" spans="1:19" s="322" customFormat="1" ht="20.100000000000001" customHeight="1" x14ac:dyDescent="0.2">
      <c r="A192" s="321"/>
      <c r="B192" s="323"/>
      <c r="C192" s="323"/>
      <c r="D192" s="323"/>
      <c r="E192" s="323"/>
      <c r="F192" s="323"/>
      <c r="G192" s="323"/>
      <c r="H192" s="323"/>
      <c r="I192" s="323"/>
      <c r="J192" s="323"/>
      <c r="K192" s="323"/>
      <c r="L192" s="323"/>
      <c r="M192" s="323"/>
      <c r="N192" s="323"/>
      <c r="O192" s="323"/>
      <c r="P192" s="323"/>
      <c r="Q192" s="323"/>
      <c r="R192" s="323"/>
      <c r="S192" s="323"/>
    </row>
    <row r="193" spans="1:19" ht="20.100000000000001" customHeight="1" x14ac:dyDescent="0.2"/>
    <row r="194" spans="1:19" ht="9.9499999999999993" customHeight="1" x14ac:dyDescent="0.2"/>
    <row r="195" spans="1:19" ht="20.100000000000001" customHeight="1" x14ac:dyDescent="0.2"/>
    <row r="196" spans="1:19" ht="20.100000000000001" customHeight="1" x14ac:dyDescent="0.2"/>
    <row r="197" spans="1:19" ht="20.100000000000001" customHeight="1" x14ac:dyDescent="0.2"/>
    <row r="198" spans="1:19" s="322" customFormat="1" ht="20.100000000000001" customHeight="1" x14ac:dyDescent="0.2">
      <c r="A198" s="321"/>
      <c r="B198" s="323"/>
      <c r="C198" s="323"/>
      <c r="D198" s="323"/>
      <c r="E198" s="323"/>
      <c r="F198" s="323"/>
      <c r="G198" s="323"/>
      <c r="H198" s="323"/>
      <c r="I198" s="323"/>
      <c r="J198" s="323"/>
      <c r="K198" s="323"/>
      <c r="L198" s="323"/>
      <c r="M198" s="323"/>
      <c r="N198" s="323"/>
      <c r="O198" s="323"/>
      <c r="P198" s="323"/>
      <c r="Q198" s="323"/>
      <c r="R198" s="323"/>
      <c r="S198" s="323"/>
    </row>
    <row r="199" spans="1:19" s="322" customFormat="1" ht="20.100000000000001" customHeight="1" x14ac:dyDescent="0.2">
      <c r="A199" s="321"/>
      <c r="B199" s="323"/>
      <c r="C199" s="323"/>
      <c r="D199" s="323"/>
      <c r="E199" s="323"/>
      <c r="F199" s="323"/>
      <c r="G199" s="323"/>
      <c r="H199" s="323"/>
      <c r="I199" s="323"/>
      <c r="J199" s="323"/>
      <c r="K199" s="323"/>
      <c r="L199" s="323"/>
      <c r="M199" s="323"/>
      <c r="N199" s="323"/>
      <c r="O199" s="323"/>
      <c r="P199" s="323"/>
      <c r="Q199" s="323"/>
      <c r="R199" s="323"/>
      <c r="S199" s="323"/>
    </row>
    <row r="200" spans="1:19" s="322" customFormat="1" ht="20.100000000000001" customHeight="1" x14ac:dyDescent="0.2">
      <c r="A200" s="321"/>
      <c r="B200" s="323"/>
      <c r="C200" s="323"/>
      <c r="D200" s="323"/>
      <c r="E200" s="323"/>
      <c r="F200" s="323"/>
      <c r="G200" s="323"/>
      <c r="H200" s="323"/>
      <c r="I200" s="323"/>
      <c r="J200" s="323"/>
      <c r="K200" s="323"/>
      <c r="L200" s="323"/>
      <c r="M200" s="323"/>
      <c r="N200" s="323"/>
      <c r="O200" s="323"/>
      <c r="P200" s="323"/>
      <c r="Q200" s="323"/>
      <c r="R200" s="323"/>
      <c r="S200" s="323"/>
    </row>
    <row r="201" spans="1:19" s="322" customFormat="1" ht="20.100000000000001" customHeight="1" x14ac:dyDescent="0.2">
      <c r="A201" s="321"/>
      <c r="B201" s="323"/>
      <c r="C201" s="323"/>
      <c r="D201" s="323"/>
      <c r="E201" s="323"/>
      <c r="F201" s="323"/>
      <c r="G201" s="323"/>
      <c r="H201" s="323"/>
      <c r="I201" s="323"/>
      <c r="J201" s="323"/>
      <c r="K201" s="323"/>
      <c r="L201" s="323"/>
      <c r="M201" s="323"/>
      <c r="N201" s="323"/>
      <c r="O201" s="323"/>
      <c r="P201" s="323"/>
      <c r="Q201" s="323"/>
      <c r="R201" s="323"/>
      <c r="S201" s="323"/>
    </row>
    <row r="202" spans="1:19" s="322" customFormat="1" ht="20.100000000000001" customHeight="1" x14ac:dyDescent="0.2">
      <c r="A202" s="321"/>
      <c r="B202" s="323"/>
      <c r="C202" s="323"/>
      <c r="D202" s="323"/>
      <c r="E202" s="323"/>
      <c r="F202" s="323"/>
      <c r="G202" s="323"/>
      <c r="H202" s="323"/>
      <c r="I202" s="323"/>
      <c r="J202" s="323"/>
      <c r="K202" s="323"/>
      <c r="L202" s="323"/>
      <c r="M202" s="323"/>
      <c r="N202" s="323"/>
      <c r="O202" s="323"/>
      <c r="P202" s="323"/>
      <c r="Q202" s="323"/>
      <c r="R202" s="323"/>
      <c r="S202" s="323"/>
    </row>
    <row r="203" spans="1:19" s="322" customFormat="1" ht="20.100000000000001" customHeight="1" x14ac:dyDescent="0.2">
      <c r="A203" s="321"/>
      <c r="B203" s="323"/>
      <c r="C203" s="323"/>
      <c r="D203" s="323"/>
      <c r="E203" s="323"/>
      <c r="F203" s="323"/>
      <c r="G203" s="323"/>
      <c r="H203" s="323"/>
      <c r="I203" s="323"/>
      <c r="J203" s="323"/>
      <c r="K203" s="323"/>
      <c r="L203" s="323"/>
      <c r="M203" s="323"/>
      <c r="N203" s="323"/>
      <c r="O203" s="323"/>
      <c r="P203" s="323"/>
      <c r="Q203" s="323"/>
      <c r="R203" s="323"/>
      <c r="S203" s="323"/>
    </row>
    <row r="204" spans="1:19" s="322" customFormat="1" ht="20.100000000000001" customHeight="1" x14ac:dyDescent="0.2">
      <c r="A204" s="321"/>
      <c r="B204" s="323"/>
      <c r="C204" s="323"/>
      <c r="D204" s="323"/>
      <c r="E204" s="323"/>
      <c r="F204" s="323"/>
      <c r="G204" s="323"/>
      <c r="H204" s="323"/>
      <c r="I204" s="323"/>
      <c r="J204" s="323"/>
      <c r="K204" s="323"/>
      <c r="L204" s="323"/>
      <c r="M204" s="323"/>
      <c r="N204" s="323"/>
      <c r="O204" s="323"/>
      <c r="P204" s="323"/>
      <c r="Q204" s="323"/>
      <c r="R204" s="323"/>
      <c r="S204" s="323"/>
    </row>
    <row r="205" spans="1:19" s="322" customFormat="1" ht="20.100000000000001" customHeight="1" x14ac:dyDescent="0.2">
      <c r="A205" s="321"/>
      <c r="B205" s="323"/>
      <c r="C205" s="323"/>
      <c r="D205" s="323"/>
      <c r="E205" s="323"/>
      <c r="F205" s="323"/>
      <c r="G205" s="323"/>
      <c r="H205" s="323"/>
      <c r="I205" s="323"/>
      <c r="J205" s="323"/>
      <c r="K205" s="323"/>
      <c r="L205" s="323"/>
      <c r="M205" s="323"/>
      <c r="N205" s="323"/>
      <c r="O205" s="323"/>
      <c r="P205" s="323"/>
      <c r="Q205" s="323"/>
      <c r="R205" s="323"/>
      <c r="S205" s="323"/>
    </row>
    <row r="206" spans="1:19" s="322" customFormat="1" ht="20.100000000000001" customHeight="1" x14ac:dyDescent="0.2">
      <c r="A206" s="321"/>
      <c r="B206" s="323"/>
      <c r="C206" s="323"/>
      <c r="D206" s="323"/>
      <c r="E206" s="323"/>
      <c r="F206" s="323"/>
      <c r="G206" s="323"/>
      <c r="H206" s="323"/>
      <c r="I206" s="323"/>
      <c r="J206" s="323"/>
      <c r="K206" s="323"/>
      <c r="L206" s="323"/>
      <c r="M206" s="323"/>
      <c r="N206" s="323"/>
      <c r="O206" s="323"/>
      <c r="P206" s="323"/>
      <c r="Q206" s="323"/>
      <c r="R206" s="323"/>
      <c r="S206" s="323"/>
    </row>
    <row r="207" spans="1:19" s="322" customFormat="1" ht="20.100000000000001" customHeight="1" x14ac:dyDescent="0.2">
      <c r="A207" s="321"/>
      <c r="B207" s="323"/>
      <c r="C207" s="323"/>
      <c r="D207" s="323"/>
      <c r="E207" s="323"/>
      <c r="F207" s="323"/>
      <c r="G207" s="323"/>
      <c r="H207" s="323"/>
      <c r="I207" s="323"/>
      <c r="J207" s="323"/>
      <c r="K207" s="323"/>
      <c r="L207" s="323"/>
      <c r="M207" s="323"/>
      <c r="N207" s="323"/>
      <c r="O207" s="323"/>
      <c r="P207" s="323"/>
      <c r="Q207" s="323"/>
      <c r="R207" s="323"/>
      <c r="S207" s="323"/>
    </row>
    <row r="208" spans="1:19" s="322" customFormat="1" ht="20.100000000000001" customHeight="1" x14ac:dyDescent="0.2">
      <c r="A208" s="321"/>
      <c r="B208" s="323"/>
      <c r="C208" s="323"/>
      <c r="D208" s="323"/>
      <c r="E208" s="323"/>
      <c r="F208" s="323"/>
      <c r="G208" s="323"/>
      <c r="H208" s="323"/>
      <c r="I208" s="323"/>
      <c r="J208" s="323"/>
      <c r="K208" s="323"/>
      <c r="L208" s="323"/>
      <c r="M208" s="323"/>
      <c r="N208" s="323"/>
      <c r="O208" s="323"/>
      <c r="P208" s="323"/>
      <c r="Q208" s="323"/>
      <c r="R208" s="323"/>
      <c r="S208" s="323"/>
    </row>
    <row r="209" spans="1:19" s="322" customFormat="1" ht="20.100000000000001" customHeight="1" x14ac:dyDescent="0.2">
      <c r="A209" s="321"/>
      <c r="B209" s="323"/>
      <c r="C209" s="323"/>
      <c r="D209" s="323"/>
      <c r="E209" s="323"/>
      <c r="F209" s="323"/>
      <c r="G209" s="323"/>
      <c r="H209" s="323"/>
      <c r="I209" s="323"/>
      <c r="J209" s="323"/>
      <c r="K209" s="323"/>
      <c r="L209" s="323"/>
      <c r="M209" s="323"/>
      <c r="N209" s="323"/>
      <c r="O209" s="323"/>
      <c r="P209" s="323"/>
      <c r="Q209" s="323"/>
      <c r="R209" s="323"/>
      <c r="S209" s="323"/>
    </row>
    <row r="210" spans="1:19" s="322" customFormat="1" ht="20.100000000000001" customHeight="1" x14ac:dyDescent="0.2">
      <c r="A210" s="321"/>
      <c r="B210" s="323"/>
      <c r="C210" s="323"/>
      <c r="D210" s="323"/>
      <c r="E210" s="323"/>
      <c r="F210" s="323"/>
      <c r="G210" s="323"/>
      <c r="H210" s="323"/>
      <c r="I210" s="323"/>
      <c r="J210" s="323"/>
      <c r="K210" s="323"/>
      <c r="L210" s="323"/>
      <c r="M210" s="323"/>
      <c r="N210" s="323"/>
      <c r="O210" s="323"/>
      <c r="P210" s="323"/>
      <c r="Q210" s="323"/>
      <c r="R210" s="323"/>
      <c r="S210" s="323"/>
    </row>
    <row r="211" spans="1:19" s="322" customFormat="1" ht="20.100000000000001" customHeight="1" x14ac:dyDescent="0.2">
      <c r="A211" s="321"/>
      <c r="B211" s="323"/>
      <c r="C211" s="323"/>
      <c r="D211" s="323"/>
      <c r="E211" s="323"/>
      <c r="F211" s="323"/>
      <c r="G211" s="323"/>
      <c r="H211" s="323"/>
      <c r="I211" s="323"/>
      <c r="J211" s="323"/>
      <c r="K211" s="323"/>
      <c r="L211" s="323"/>
      <c r="M211" s="323"/>
      <c r="N211" s="323"/>
      <c r="O211" s="323"/>
      <c r="P211" s="323"/>
      <c r="Q211" s="323"/>
      <c r="R211" s="323"/>
      <c r="S211" s="323"/>
    </row>
    <row r="212" spans="1:19" s="322" customFormat="1" ht="20.100000000000001" customHeight="1" x14ac:dyDescent="0.2">
      <c r="A212" s="321"/>
      <c r="B212" s="323"/>
      <c r="C212" s="323"/>
      <c r="D212" s="323"/>
      <c r="E212" s="323"/>
      <c r="F212" s="323"/>
      <c r="G212" s="323"/>
      <c r="H212" s="323"/>
      <c r="I212" s="323"/>
      <c r="J212" s="323"/>
      <c r="K212" s="323"/>
      <c r="L212" s="323"/>
      <c r="M212" s="323"/>
      <c r="N212" s="323"/>
      <c r="O212" s="323"/>
      <c r="P212" s="323"/>
      <c r="Q212" s="323"/>
      <c r="R212" s="323"/>
      <c r="S212" s="323"/>
    </row>
    <row r="213" spans="1:19" s="322" customFormat="1" ht="20.100000000000001" customHeight="1" x14ac:dyDescent="0.2">
      <c r="A213" s="321"/>
      <c r="B213" s="323"/>
      <c r="C213" s="323"/>
      <c r="D213" s="323"/>
      <c r="E213" s="323"/>
      <c r="F213" s="323"/>
      <c r="G213" s="323"/>
      <c r="H213" s="323"/>
      <c r="I213" s="323"/>
      <c r="J213" s="323"/>
      <c r="K213" s="323"/>
      <c r="L213" s="323"/>
      <c r="M213" s="323"/>
      <c r="N213" s="323"/>
      <c r="O213" s="323"/>
      <c r="P213" s="323"/>
      <c r="Q213" s="323"/>
      <c r="R213" s="323"/>
      <c r="S213" s="323"/>
    </row>
    <row r="214" spans="1:19" s="322" customFormat="1" ht="20.100000000000001" customHeight="1" x14ac:dyDescent="0.2">
      <c r="A214" s="321"/>
      <c r="B214" s="323"/>
      <c r="C214" s="323"/>
      <c r="D214" s="323"/>
      <c r="E214" s="323"/>
      <c r="F214" s="323"/>
      <c r="G214" s="323"/>
      <c r="H214" s="323"/>
      <c r="I214" s="323"/>
      <c r="J214" s="323"/>
      <c r="K214" s="323"/>
      <c r="L214" s="323"/>
      <c r="M214" s="323"/>
      <c r="N214" s="323"/>
      <c r="O214" s="323"/>
      <c r="P214" s="323"/>
      <c r="Q214" s="323"/>
      <c r="R214" s="323"/>
      <c r="S214" s="323"/>
    </row>
    <row r="215" spans="1:19" s="322" customFormat="1" ht="20.100000000000001" customHeight="1" x14ac:dyDescent="0.2">
      <c r="A215" s="321"/>
      <c r="B215" s="323"/>
      <c r="C215" s="323"/>
      <c r="D215" s="323"/>
      <c r="E215" s="323"/>
      <c r="F215" s="323"/>
      <c r="G215" s="323"/>
      <c r="H215" s="323"/>
      <c r="I215" s="323"/>
      <c r="J215" s="323"/>
      <c r="K215" s="323"/>
      <c r="L215" s="323"/>
      <c r="M215" s="323"/>
      <c r="N215" s="323"/>
      <c r="O215" s="323"/>
      <c r="P215" s="323"/>
      <c r="Q215" s="323"/>
      <c r="R215" s="323"/>
      <c r="S215" s="323"/>
    </row>
    <row r="216" spans="1:19" s="322" customFormat="1" ht="20.100000000000001" customHeight="1" x14ac:dyDescent="0.2">
      <c r="A216" s="321"/>
      <c r="B216" s="323"/>
      <c r="C216" s="323"/>
      <c r="D216" s="323"/>
      <c r="E216" s="323"/>
      <c r="F216" s="323"/>
      <c r="G216" s="323"/>
      <c r="H216" s="323"/>
      <c r="I216" s="323"/>
      <c r="J216" s="323"/>
      <c r="K216" s="323"/>
      <c r="L216" s="323"/>
      <c r="M216" s="323"/>
      <c r="N216" s="323"/>
      <c r="O216" s="323"/>
      <c r="P216" s="323"/>
      <c r="Q216" s="323"/>
      <c r="R216" s="323"/>
      <c r="S216" s="323"/>
    </row>
    <row r="217" spans="1:19" s="322" customFormat="1" ht="20.100000000000001" customHeight="1" x14ac:dyDescent="0.2">
      <c r="A217" s="321"/>
      <c r="B217" s="323"/>
      <c r="C217" s="323"/>
      <c r="D217" s="323"/>
      <c r="E217" s="323"/>
      <c r="F217" s="323"/>
      <c r="G217" s="323"/>
      <c r="H217" s="323"/>
      <c r="I217" s="323"/>
      <c r="J217" s="323"/>
      <c r="K217" s="323"/>
      <c r="L217" s="323"/>
      <c r="M217" s="323"/>
      <c r="N217" s="323"/>
      <c r="O217" s="323"/>
      <c r="P217" s="323"/>
      <c r="Q217" s="323"/>
      <c r="R217" s="323"/>
      <c r="S217" s="323"/>
    </row>
    <row r="218" spans="1:19" s="322" customFormat="1" ht="20.100000000000001" customHeight="1" x14ac:dyDescent="0.2">
      <c r="A218" s="321"/>
      <c r="B218" s="323"/>
      <c r="C218" s="323"/>
      <c r="D218" s="323"/>
      <c r="E218" s="323"/>
      <c r="F218" s="323"/>
      <c r="G218" s="323"/>
      <c r="H218" s="323"/>
      <c r="I218" s="323"/>
      <c r="J218" s="323"/>
      <c r="K218" s="323"/>
      <c r="L218" s="323"/>
      <c r="M218" s="323"/>
      <c r="N218" s="323"/>
      <c r="O218" s="323"/>
      <c r="P218" s="323"/>
      <c r="Q218" s="323"/>
      <c r="R218" s="323"/>
      <c r="S218" s="323"/>
    </row>
    <row r="219" spans="1:19" s="322" customFormat="1" ht="20.100000000000001" customHeight="1" x14ac:dyDescent="0.2">
      <c r="A219" s="321"/>
      <c r="B219" s="323"/>
      <c r="C219" s="323"/>
      <c r="D219" s="323"/>
      <c r="E219" s="323"/>
      <c r="F219" s="323"/>
      <c r="G219" s="323"/>
      <c r="H219" s="323"/>
      <c r="I219" s="323"/>
      <c r="J219" s="323"/>
      <c r="K219" s="323"/>
      <c r="L219" s="323"/>
      <c r="M219" s="323"/>
      <c r="N219" s="323"/>
      <c r="O219" s="323"/>
      <c r="P219" s="323"/>
      <c r="Q219" s="323"/>
      <c r="R219" s="323"/>
      <c r="S219" s="323"/>
    </row>
    <row r="220" spans="1:19" s="322" customFormat="1" ht="19.899999999999999" customHeight="1" x14ac:dyDescent="0.2">
      <c r="A220" s="321"/>
      <c r="B220" s="323"/>
      <c r="C220" s="323"/>
      <c r="D220" s="323"/>
      <c r="E220" s="323"/>
      <c r="F220" s="323"/>
      <c r="G220" s="323"/>
      <c r="H220" s="323"/>
      <c r="I220" s="323"/>
      <c r="J220" s="323"/>
      <c r="K220" s="323"/>
      <c r="L220" s="323"/>
      <c r="M220" s="323"/>
      <c r="N220" s="323"/>
      <c r="O220" s="323"/>
      <c r="P220" s="323"/>
      <c r="Q220" s="323"/>
      <c r="R220" s="323"/>
      <c r="S220" s="323"/>
    </row>
    <row r="221" spans="1:19" s="322" customFormat="1" ht="20.100000000000001" customHeight="1" x14ac:dyDescent="0.2">
      <c r="A221" s="321"/>
      <c r="B221" s="323"/>
      <c r="C221" s="323"/>
      <c r="D221" s="323"/>
      <c r="E221" s="323"/>
      <c r="F221" s="323"/>
      <c r="G221" s="323"/>
      <c r="H221" s="323"/>
      <c r="I221" s="323"/>
      <c r="J221" s="323"/>
      <c r="K221" s="323"/>
      <c r="L221" s="323"/>
      <c r="M221" s="323"/>
      <c r="N221" s="323"/>
      <c r="O221" s="323"/>
      <c r="P221" s="323"/>
      <c r="Q221" s="323"/>
      <c r="R221" s="323"/>
      <c r="S221" s="323"/>
    </row>
    <row r="222" spans="1:19" s="322" customFormat="1" ht="20.100000000000001" customHeight="1" x14ac:dyDescent="0.2">
      <c r="A222" s="321"/>
      <c r="B222" s="323"/>
      <c r="C222" s="323"/>
      <c r="D222" s="323"/>
      <c r="E222" s="323"/>
      <c r="F222" s="323"/>
      <c r="G222" s="323"/>
      <c r="H222" s="323"/>
      <c r="I222" s="323"/>
      <c r="J222" s="323"/>
      <c r="K222" s="323"/>
      <c r="L222" s="323"/>
      <c r="M222" s="323"/>
      <c r="N222" s="323"/>
      <c r="O222" s="323"/>
      <c r="P222" s="323"/>
      <c r="Q222" s="323"/>
      <c r="R222" s="323"/>
      <c r="S222" s="323"/>
    </row>
    <row r="223" spans="1:19" s="322" customFormat="1" ht="20.100000000000001" customHeight="1" x14ac:dyDescent="0.2">
      <c r="A223" s="321"/>
      <c r="B223" s="323"/>
      <c r="C223" s="323"/>
      <c r="D223" s="323"/>
      <c r="E223" s="323"/>
      <c r="F223" s="323"/>
      <c r="G223" s="323"/>
      <c r="H223" s="323"/>
      <c r="I223" s="323"/>
      <c r="J223" s="323"/>
      <c r="K223" s="323"/>
      <c r="L223" s="323"/>
      <c r="M223" s="323"/>
      <c r="N223" s="323"/>
      <c r="O223" s="323"/>
      <c r="P223" s="323"/>
      <c r="Q223" s="323"/>
      <c r="R223" s="323"/>
      <c r="S223" s="323"/>
    </row>
    <row r="224" spans="1:19" s="322" customFormat="1" ht="20.100000000000001" customHeight="1" x14ac:dyDescent="0.2">
      <c r="A224" s="321"/>
      <c r="B224" s="323"/>
      <c r="C224" s="323"/>
      <c r="D224" s="323"/>
      <c r="E224" s="323"/>
      <c r="F224" s="323"/>
      <c r="G224" s="323"/>
      <c r="H224" s="323"/>
      <c r="I224" s="323"/>
      <c r="J224" s="323"/>
      <c r="K224" s="323"/>
      <c r="L224" s="323"/>
      <c r="M224" s="323"/>
      <c r="N224" s="323"/>
      <c r="O224" s="323"/>
      <c r="P224" s="323"/>
      <c r="Q224" s="323"/>
      <c r="R224" s="323"/>
      <c r="S224" s="323"/>
    </row>
    <row r="225" spans="1:19" s="322" customFormat="1" ht="20.100000000000001" customHeight="1" x14ac:dyDescent="0.2">
      <c r="A225" s="321"/>
      <c r="B225" s="323"/>
      <c r="C225" s="323"/>
      <c r="D225" s="323"/>
      <c r="E225" s="323"/>
      <c r="F225" s="323"/>
      <c r="G225" s="323"/>
      <c r="H225" s="323"/>
      <c r="I225" s="323"/>
      <c r="J225" s="323"/>
      <c r="K225" s="323"/>
      <c r="L225" s="323"/>
      <c r="M225" s="323"/>
      <c r="N225" s="323"/>
      <c r="O225" s="323"/>
      <c r="P225" s="323"/>
      <c r="Q225" s="323"/>
      <c r="R225" s="323"/>
      <c r="S225" s="323"/>
    </row>
    <row r="226" spans="1:19" s="322" customFormat="1" ht="20.100000000000001" customHeight="1" x14ac:dyDescent="0.2">
      <c r="A226" s="321"/>
      <c r="B226" s="323"/>
      <c r="C226" s="323"/>
      <c r="D226" s="323"/>
      <c r="E226" s="323"/>
      <c r="F226" s="323"/>
      <c r="G226" s="323"/>
      <c r="H226" s="323"/>
      <c r="I226" s="323"/>
      <c r="J226" s="323"/>
      <c r="K226" s="323"/>
      <c r="L226" s="323"/>
      <c r="M226" s="323"/>
      <c r="N226" s="323"/>
      <c r="O226" s="323"/>
      <c r="P226" s="323"/>
      <c r="Q226" s="323"/>
      <c r="R226" s="323"/>
      <c r="S226" s="323"/>
    </row>
    <row r="227" spans="1:19" s="322" customFormat="1" ht="20.100000000000001" customHeight="1" x14ac:dyDescent="0.2">
      <c r="A227" s="321"/>
      <c r="B227" s="323"/>
      <c r="C227" s="323"/>
      <c r="D227" s="323"/>
      <c r="E227" s="323"/>
      <c r="F227" s="323"/>
      <c r="G227" s="323"/>
      <c r="H227" s="323"/>
      <c r="I227" s="323"/>
      <c r="J227" s="323"/>
      <c r="K227" s="323"/>
      <c r="L227" s="323"/>
      <c r="M227" s="323"/>
      <c r="N227" s="323"/>
      <c r="O227" s="323"/>
      <c r="P227" s="323"/>
      <c r="Q227" s="323"/>
      <c r="R227" s="323"/>
      <c r="S227" s="323"/>
    </row>
    <row r="228" spans="1:19" s="322" customFormat="1" ht="20.100000000000001" customHeight="1" x14ac:dyDescent="0.2">
      <c r="A228" s="321"/>
      <c r="B228" s="323"/>
      <c r="C228" s="323"/>
      <c r="D228" s="323"/>
      <c r="E228" s="323"/>
      <c r="F228" s="323"/>
      <c r="G228" s="323"/>
      <c r="H228" s="323"/>
      <c r="I228" s="323"/>
      <c r="J228" s="323"/>
      <c r="K228" s="323"/>
      <c r="L228" s="323"/>
      <c r="M228" s="323"/>
      <c r="N228" s="323"/>
      <c r="O228" s="323"/>
      <c r="P228" s="323"/>
      <c r="Q228" s="323"/>
      <c r="R228" s="323"/>
      <c r="S228" s="323"/>
    </row>
    <row r="229" spans="1:19" s="322" customFormat="1" ht="20.100000000000001" customHeight="1" x14ac:dyDescent="0.2">
      <c r="A229" s="321"/>
      <c r="B229" s="323"/>
      <c r="C229" s="323"/>
      <c r="D229" s="323"/>
      <c r="E229" s="323"/>
      <c r="F229" s="323"/>
      <c r="G229" s="323"/>
      <c r="H229" s="323"/>
      <c r="I229" s="323"/>
      <c r="J229" s="323"/>
      <c r="K229" s="323"/>
      <c r="L229" s="323"/>
      <c r="M229" s="323"/>
      <c r="N229" s="323"/>
      <c r="O229" s="323"/>
      <c r="P229" s="323"/>
      <c r="Q229" s="323"/>
      <c r="R229" s="323"/>
      <c r="S229" s="323"/>
    </row>
    <row r="230" spans="1:19" s="322" customFormat="1" ht="20.100000000000001" customHeight="1" x14ac:dyDescent="0.2">
      <c r="A230" s="321"/>
      <c r="B230" s="323"/>
      <c r="C230" s="323"/>
      <c r="D230" s="323"/>
      <c r="E230" s="323"/>
      <c r="F230" s="323"/>
      <c r="G230" s="323"/>
      <c r="H230" s="323"/>
      <c r="I230" s="323"/>
      <c r="J230" s="323"/>
      <c r="K230" s="323"/>
      <c r="L230" s="323"/>
      <c r="M230" s="323"/>
      <c r="N230" s="323"/>
      <c r="O230" s="323"/>
      <c r="P230" s="323"/>
      <c r="Q230" s="323"/>
      <c r="R230" s="323"/>
      <c r="S230" s="323"/>
    </row>
    <row r="231" spans="1:19" s="322" customFormat="1" ht="20.100000000000001" customHeight="1" x14ac:dyDescent="0.2">
      <c r="A231" s="321"/>
      <c r="B231" s="323"/>
      <c r="C231" s="323"/>
      <c r="D231" s="323"/>
      <c r="E231" s="323"/>
      <c r="F231" s="323"/>
      <c r="G231" s="323"/>
      <c r="H231" s="323"/>
      <c r="I231" s="323"/>
      <c r="J231" s="323"/>
      <c r="K231" s="323"/>
      <c r="L231" s="323"/>
      <c r="M231" s="323"/>
      <c r="N231" s="323"/>
      <c r="O231" s="323"/>
      <c r="P231" s="323"/>
      <c r="Q231" s="323"/>
      <c r="R231" s="323"/>
      <c r="S231" s="323"/>
    </row>
    <row r="232" spans="1:19" s="322" customFormat="1" ht="20.100000000000001" customHeight="1" x14ac:dyDescent="0.2">
      <c r="A232" s="321"/>
      <c r="B232" s="323"/>
      <c r="C232" s="323"/>
      <c r="D232" s="323"/>
      <c r="E232" s="323"/>
      <c r="F232" s="323"/>
      <c r="G232" s="323"/>
      <c r="H232" s="323"/>
      <c r="I232" s="323"/>
      <c r="J232" s="323"/>
      <c r="K232" s="323"/>
      <c r="L232" s="323"/>
      <c r="M232" s="323"/>
      <c r="N232" s="323"/>
      <c r="O232" s="323"/>
      <c r="P232" s="323"/>
      <c r="Q232" s="323"/>
      <c r="R232" s="323"/>
      <c r="S232" s="323"/>
    </row>
    <row r="233" spans="1:19" s="322" customFormat="1" ht="20.100000000000001" customHeight="1" x14ac:dyDescent="0.2">
      <c r="A233" s="321"/>
      <c r="B233" s="323"/>
      <c r="C233" s="323"/>
      <c r="D233" s="323"/>
      <c r="E233" s="323"/>
      <c r="F233" s="323"/>
      <c r="G233" s="323"/>
      <c r="H233" s="323"/>
      <c r="I233" s="323"/>
      <c r="J233" s="323"/>
      <c r="K233" s="323"/>
      <c r="L233" s="323"/>
      <c r="M233" s="323"/>
      <c r="N233" s="323"/>
      <c r="O233" s="323"/>
      <c r="P233" s="323"/>
      <c r="Q233" s="323"/>
      <c r="R233" s="323"/>
      <c r="S233" s="323"/>
    </row>
    <row r="234" spans="1:19" s="322" customFormat="1" ht="20.100000000000001" customHeight="1" x14ac:dyDescent="0.2">
      <c r="A234" s="321"/>
      <c r="B234" s="323"/>
      <c r="C234" s="323"/>
      <c r="D234" s="323"/>
      <c r="E234" s="323"/>
      <c r="F234" s="323"/>
      <c r="G234" s="323"/>
      <c r="H234" s="323"/>
      <c r="I234" s="323"/>
      <c r="J234" s="323"/>
      <c r="K234" s="323"/>
      <c r="L234" s="323"/>
      <c r="M234" s="323"/>
      <c r="N234" s="323"/>
      <c r="O234" s="323"/>
      <c r="P234" s="323"/>
      <c r="Q234" s="323"/>
      <c r="R234" s="323"/>
      <c r="S234" s="323"/>
    </row>
    <row r="235" spans="1:19" ht="20.100000000000001" customHeight="1" x14ac:dyDescent="0.2"/>
    <row r="236" spans="1:19" ht="9.9499999999999993" customHeight="1" x14ac:dyDescent="0.2"/>
    <row r="237" spans="1:19" ht="20.100000000000001" customHeight="1" x14ac:dyDescent="0.2"/>
    <row r="238" spans="1:19" ht="20.100000000000001" customHeight="1" x14ac:dyDescent="0.2"/>
    <row r="239" spans="1:19" ht="20.100000000000001" customHeight="1" x14ac:dyDescent="0.2"/>
    <row r="240" spans="1:19" ht="20.100000000000001" customHeight="1" x14ac:dyDescent="0.2"/>
    <row r="241" spans="1:19" s="322" customFormat="1" ht="20.100000000000001" customHeight="1" x14ac:dyDescent="0.2">
      <c r="A241" s="321"/>
      <c r="B241" s="323"/>
      <c r="C241" s="323"/>
      <c r="D241" s="323"/>
      <c r="E241" s="323"/>
      <c r="F241" s="323"/>
      <c r="G241" s="323"/>
      <c r="H241" s="323"/>
      <c r="I241" s="323"/>
      <c r="J241" s="323"/>
      <c r="K241" s="323"/>
      <c r="L241" s="323"/>
      <c r="M241" s="323"/>
      <c r="N241" s="323"/>
      <c r="O241" s="323"/>
      <c r="P241" s="323"/>
      <c r="Q241" s="323"/>
      <c r="R241" s="323"/>
      <c r="S241" s="323"/>
    </row>
    <row r="242" spans="1:19" s="322" customFormat="1" ht="20.100000000000001" customHeight="1" x14ac:dyDescent="0.2">
      <c r="A242" s="321"/>
      <c r="B242" s="323"/>
      <c r="C242" s="323"/>
      <c r="D242" s="323"/>
      <c r="E242" s="323"/>
      <c r="F242" s="323"/>
      <c r="G242" s="323"/>
      <c r="H242" s="323"/>
      <c r="I242" s="323"/>
      <c r="J242" s="323"/>
      <c r="K242" s="323"/>
      <c r="L242" s="323"/>
      <c r="M242" s="323"/>
      <c r="N242" s="323"/>
      <c r="O242" s="323"/>
      <c r="P242" s="323"/>
      <c r="Q242" s="323"/>
      <c r="R242" s="323"/>
      <c r="S242" s="323"/>
    </row>
    <row r="243" spans="1:19" s="322" customFormat="1" ht="20.100000000000001" customHeight="1" x14ac:dyDescent="0.2">
      <c r="A243" s="321"/>
      <c r="B243" s="323"/>
      <c r="C243" s="323"/>
      <c r="D243" s="323"/>
      <c r="E243" s="323"/>
      <c r="F243" s="323"/>
      <c r="G243" s="323"/>
      <c r="H243" s="323"/>
      <c r="I243" s="323"/>
      <c r="J243" s="323"/>
      <c r="K243" s="323"/>
      <c r="L243" s="323"/>
      <c r="M243" s="323"/>
      <c r="N243" s="323"/>
      <c r="O243" s="323"/>
      <c r="P243" s="323"/>
      <c r="Q243" s="323"/>
      <c r="R243" s="323"/>
      <c r="S243" s="323"/>
    </row>
    <row r="244" spans="1:19" s="322" customFormat="1" ht="20.100000000000001" customHeight="1" x14ac:dyDescent="0.2">
      <c r="A244" s="321"/>
      <c r="B244" s="323"/>
      <c r="C244" s="323"/>
      <c r="D244" s="323"/>
      <c r="E244" s="323"/>
      <c r="F244" s="323"/>
      <c r="G244" s="323"/>
      <c r="H244" s="323"/>
      <c r="I244" s="323"/>
      <c r="J244" s="323"/>
      <c r="K244" s="323"/>
      <c r="L244" s="323"/>
      <c r="M244" s="323"/>
      <c r="N244" s="323"/>
      <c r="O244" s="323"/>
      <c r="P244" s="323"/>
      <c r="Q244" s="323"/>
      <c r="R244" s="323"/>
      <c r="S244" s="323"/>
    </row>
    <row r="245" spans="1:19" s="322" customFormat="1" ht="20.100000000000001" customHeight="1" x14ac:dyDescent="0.2">
      <c r="A245" s="321"/>
      <c r="B245" s="323"/>
      <c r="C245" s="323"/>
      <c r="D245" s="323"/>
      <c r="E245" s="323"/>
      <c r="F245" s="323"/>
      <c r="G245" s="323"/>
      <c r="H245" s="323"/>
      <c r="I245" s="323"/>
      <c r="J245" s="323"/>
      <c r="K245" s="323"/>
      <c r="L245" s="323"/>
      <c r="M245" s="323"/>
      <c r="N245" s="323"/>
      <c r="O245" s="323"/>
      <c r="P245" s="323"/>
      <c r="Q245" s="323"/>
      <c r="R245" s="323"/>
      <c r="S245" s="323"/>
    </row>
    <row r="246" spans="1:19" s="322" customFormat="1" ht="20.100000000000001" customHeight="1" x14ac:dyDescent="0.2">
      <c r="A246" s="321"/>
      <c r="B246" s="323"/>
      <c r="C246" s="323"/>
      <c r="D246" s="323"/>
      <c r="E246" s="323"/>
      <c r="F246" s="323"/>
      <c r="G246" s="323"/>
      <c r="H246" s="323"/>
      <c r="I246" s="323"/>
      <c r="J246" s="323"/>
      <c r="K246" s="323"/>
      <c r="L246" s="323"/>
      <c r="M246" s="323"/>
      <c r="N246" s="323"/>
      <c r="O246" s="323"/>
      <c r="P246" s="323"/>
      <c r="Q246" s="323"/>
      <c r="R246" s="323"/>
      <c r="S246" s="323"/>
    </row>
    <row r="247" spans="1:19" s="322" customFormat="1" ht="20.100000000000001" customHeight="1" x14ac:dyDescent="0.2">
      <c r="A247" s="321"/>
      <c r="B247" s="323"/>
      <c r="C247" s="323"/>
      <c r="D247" s="323"/>
      <c r="E247" s="323"/>
      <c r="F247" s="323"/>
      <c r="G247" s="323"/>
      <c r="H247" s="323"/>
      <c r="I247" s="323"/>
      <c r="J247" s="323"/>
      <c r="K247" s="323"/>
      <c r="L247" s="323"/>
      <c r="M247" s="323"/>
      <c r="N247" s="323"/>
      <c r="O247" s="323"/>
      <c r="P247" s="323"/>
      <c r="Q247" s="323"/>
      <c r="R247" s="323"/>
      <c r="S247" s="323"/>
    </row>
    <row r="248" spans="1:19" s="322" customFormat="1" ht="20.100000000000001" customHeight="1" x14ac:dyDescent="0.2">
      <c r="A248" s="321"/>
      <c r="B248" s="323"/>
      <c r="C248" s="323"/>
      <c r="D248" s="323"/>
      <c r="E248" s="323"/>
      <c r="F248" s="323"/>
      <c r="G248" s="323"/>
      <c r="H248" s="323"/>
      <c r="I248" s="323"/>
      <c r="J248" s="323"/>
      <c r="K248" s="323"/>
      <c r="L248" s="323"/>
      <c r="M248" s="323"/>
      <c r="N248" s="323"/>
      <c r="O248" s="323"/>
      <c r="P248" s="323"/>
      <c r="Q248" s="323"/>
      <c r="R248" s="323"/>
      <c r="S248" s="323"/>
    </row>
    <row r="249" spans="1:19" s="322" customFormat="1" ht="20.100000000000001" customHeight="1" x14ac:dyDescent="0.2">
      <c r="A249" s="321"/>
      <c r="B249" s="323"/>
      <c r="C249" s="323"/>
      <c r="D249" s="323"/>
      <c r="E249" s="323"/>
      <c r="F249" s="323"/>
      <c r="G249" s="323"/>
      <c r="H249" s="323"/>
      <c r="I249" s="323"/>
      <c r="J249" s="323"/>
      <c r="K249" s="323"/>
      <c r="L249" s="323"/>
      <c r="M249" s="323"/>
      <c r="N249" s="323"/>
      <c r="O249" s="323"/>
      <c r="P249" s="323"/>
      <c r="Q249" s="323"/>
      <c r="R249" s="323"/>
      <c r="S249" s="323"/>
    </row>
    <row r="250" spans="1:19" s="322" customFormat="1" ht="20.100000000000001" customHeight="1" x14ac:dyDescent="0.2">
      <c r="A250" s="321"/>
      <c r="B250" s="323"/>
      <c r="C250" s="323"/>
      <c r="D250" s="323"/>
      <c r="E250" s="323"/>
      <c r="F250" s="323"/>
      <c r="G250" s="323"/>
      <c r="H250" s="323"/>
      <c r="I250" s="323"/>
      <c r="J250" s="323"/>
      <c r="K250" s="323"/>
      <c r="L250" s="323"/>
      <c r="M250" s="323"/>
      <c r="N250" s="323"/>
      <c r="O250" s="323"/>
      <c r="P250" s="323"/>
      <c r="Q250" s="323"/>
      <c r="R250" s="323"/>
      <c r="S250" s="323"/>
    </row>
    <row r="251" spans="1:19" s="322" customFormat="1" ht="20.100000000000001" customHeight="1" x14ac:dyDescent="0.2">
      <c r="A251" s="321"/>
      <c r="B251" s="323"/>
      <c r="C251" s="323"/>
      <c r="D251" s="323"/>
      <c r="E251" s="323"/>
      <c r="F251" s="323"/>
      <c r="G251" s="323"/>
      <c r="H251" s="323"/>
      <c r="I251" s="323"/>
      <c r="J251" s="323"/>
      <c r="K251" s="323"/>
      <c r="L251" s="323"/>
      <c r="M251" s="323"/>
      <c r="N251" s="323"/>
      <c r="O251" s="323"/>
      <c r="P251" s="323"/>
      <c r="Q251" s="323"/>
      <c r="R251" s="323"/>
      <c r="S251" s="323"/>
    </row>
    <row r="252" spans="1:19" s="322" customFormat="1" ht="20.100000000000001" customHeight="1" x14ac:dyDescent="0.2">
      <c r="A252" s="321"/>
      <c r="B252" s="323"/>
      <c r="C252" s="323"/>
      <c r="D252" s="323"/>
      <c r="E252" s="323"/>
      <c r="F252" s="323"/>
      <c r="G252" s="323"/>
      <c r="H252" s="323"/>
      <c r="I252" s="323"/>
      <c r="J252" s="323"/>
      <c r="K252" s="323"/>
      <c r="L252" s="323"/>
      <c r="M252" s="323"/>
      <c r="N252" s="323"/>
      <c r="O252" s="323"/>
      <c r="P252" s="323"/>
      <c r="Q252" s="323"/>
      <c r="R252" s="323"/>
      <c r="S252" s="323"/>
    </row>
    <row r="253" spans="1:19" s="322" customFormat="1" ht="20.100000000000001" customHeight="1" x14ac:dyDescent="0.2">
      <c r="A253" s="321"/>
      <c r="B253" s="323"/>
      <c r="C253" s="323"/>
      <c r="D253" s="323"/>
      <c r="E253" s="323"/>
      <c r="F253" s="323"/>
      <c r="G253" s="323"/>
      <c r="H253" s="323"/>
      <c r="I253" s="323"/>
      <c r="J253" s="323"/>
      <c r="K253" s="323"/>
      <c r="L253" s="323"/>
      <c r="M253" s="323"/>
      <c r="N253" s="323"/>
      <c r="O253" s="323"/>
      <c r="P253" s="323"/>
      <c r="Q253" s="323"/>
      <c r="R253" s="323"/>
      <c r="S253" s="323"/>
    </row>
    <row r="254" spans="1:19" s="322" customFormat="1" ht="20.100000000000001" customHeight="1" x14ac:dyDescent="0.2">
      <c r="A254" s="321"/>
      <c r="B254" s="323"/>
      <c r="C254" s="323"/>
      <c r="D254" s="323"/>
      <c r="E254" s="323"/>
      <c r="F254" s="323"/>
      <c r="G254" s="323"/>
      <c r="H254" s="323"/>
      <c r="I254" s="323"/>
      <c r="J254" s="323"/>
      <c r="K254" s="323"/>
      <c r="L254" s="323"/>
      <c r="M254" s="323"/>
      <c r="N254" s="323"/>
      <c r="O254" s="323"/>
      <c r="P254" s="323"/>
      <c r="Q254" s="323"/>
      <c r="R254" s="323"/>
      <c r="S254" s="323"/>
    </row>
    <row r="255" spans="1:19" s="322" customFormat="1" ht="20.100000000000001" customHeight="1" x14ac:dyDescent="0.2">
      <c r="A255" s="321"/>
      <c r="B255" s="323"/>
      <c r="C255" s="323"/>
      <c r="D255" s="323"/>
      <c r="E255" s="323"/>
      <c r="F255" s="323"/>
      <c r="G255" s="323"/>
      <c r="H255" s="323"/>
      <c r="I255" s="323"/>
      <c r="J255" s="323"/>
      <c r="K255" s="323"/>
      <c r="L255" s="323"/>
      <c r="M255" s="323"/>
      <c r="N255" s="323"/>
      <c r="O255" s="323"/>
      <c r="P255" s="323"/>
      <c r="Q255" s="323"/>
      <c r="R255" s="323"/>
      <c r="S255" s="323"/>
    </row>
    <row r="256" spans="1:19" s="322" customFormat="1" ht="20.100000000000001" customHeight="1" x14ac:dyDescent="0.2">
      <c r="A256" s="321"/>
      <c r="B256" s="323"/>
      <c r="C256" s="323"/>
      <c r="D256" s="323"/>
      <c r="E256" s="323"/>
      <c r="F256" s="323"/>
      <c r="G256" s="323"/>
      <c r="H256" s="323"/>
      <c r="I256" s="323"/>
      <c r="J256" s="323"/>
      <c r="K256" s="323"/>
      <c r="L256" s="323"/>
      <c r="M256" s="323"/>
      <c r="N256" s="323"/>
      <c r="O256" s="323"/>
      <c r="P256" s="323"/>
      <c r="Q256" s="323"/>
      <c r="R256" s="323"/>
      <c r="S256" s="323"/>
    </row>
    <row r="257" spans="1:19" s="322" customFormat="1" ht="20.100000000000001" customHeight="1" x14ac:dyDescent="0.2">
      <c r="A257" s="321"/>
      <c r="B257" s="323"/>
      <c r="C257" s="323"/>
      <c r="D257" s="323"/>
      <c r="E257" s="323"/>
      <c r="F257" s="323"/>
      <c r="G257" s="323"/>
      <c r="H257" s="323"/>
      <c r="I257" s="323"/>
      <c r="J257" s="323"/>
      <c r="K257" s="323"/>
      <c r="L257" s="323"/>
      <c r="M257" s="323"/>
      <c r="N257" s="323"/>
      <c r="O257" s="323"/>
      <c r="P257" s="323"/>
      <c r="Q257" s="323"/>
      <c r="R257" s="323"/>
      <c r="S257" s="323"/>
    </row>
    <row r="258" spans="1:19" s="322" customFormat="1" ht="20.100000000000001" customHeight="1" x14ac:dyDescent="0.2">
      <c r="A258" s="321"/>
      <c r="B258" s="323"/>
      <c r="C258" s="323"/>
      <c r="D258" s="323"/>
      <c r="E258" s="323"/>
      <c r="F258" s="323"/>
      <c r="G258" s="323"/>
      <c r="H258" s="323"/>
      <c r="I258" s="323"/>
      <c r="J258" s="323"/>
      <c r="K258" s="323"/>
      <c r="L258" s="323"/>
      <c r="M258" s="323"/>
      <c r="N258" s="323"/>
      <c r="O258" s="323"/>
      <c r="P258" s="323"/>
      <c r="Q258" s="323"/>
      <c r="R258" s="323"/>
      <c r="S258" s="323"/>
    </row>
    <row r="259" spans="1:19" s="322" customFormat="1" ht="20.100000000000001" customHeight="1" x14ac:dyDescent="0.2">
      <c r="A259" s="321"/>
      <c r="B259" s="323"/>
      <c r="C259" s="323"/>
      <c r="D259" s="323"/>
      <c r="E259" s="323"/>
      <c r="F259" s="323"/>
      <c r="G259" s="323"/>
      <c r="H259" s="323"/>
      <c r="I259" s="323"/>
      <c r="J259" s="323"/>
      <c r="K259" s="323"/>
      <c r="L259" s="323"/>
      <c r="M259" s="323"/>
      <c r="N259" s="323"/>
      <c r="O259" s="323"/>
      <c r="P259" s="323"/>
      <c r="Q259" s="323"/>
      <c r="R259" s="323"/>
      <c r="S259" s="323"/>
    </row>
    <row r="260" spans="1:19" s="322" customFormat="1" ht="20.100000000000001" customHeight="1" x14ac:dyDescent="0.2">
      <c r="A260" s="321"/>
      <c r="B260" s="323"/>
      <c r="C260" s="323"/>
      <c r="D260" s="323"/>
      <c r="E260" s="323"/>
      <c r="F260" s="323"/>
      <c r="G260" s="323"/>
      <c r="H260" s="323"/>
      <c r="I260" s="323"/>
      <c r="J260" s="323"/>
      <c r="K260" s="323"/>
      <c r="L260" s="323"/>
      <c r="M260" s="323"/>
      <c r="N260" s="323"/>
      <c r="O260" s="323"/>
      <c r="P260" s="323"/>
      <c r="Q260" s="323"/>
      <c r="R260" s="323"/>
      <c r="S260" s="323"/>
    </row>
    <row r="261" spans="1:19" s="322" customFormat="1" ht="20.100000000000001" customHeight="1" x14ac:dyDescent="0.2">
      <c r="A261" s="321"/>
      <c r="B261" s="323"/>
      <c r="C261" s="323"/>
      <c r="D261" s="323"/>
      <c r="E261" s="323"/>
      <c r="F261" s="323"/>
      <c r="G261" s="323"/>
      <c r="H261" s="323"/>
      <c r="I261" s="323"/>
      <c r="J261" s="323"/>
      <c r="K261" s="323"/>
      <c r="L261" s="323"/>
      <c r="M261" s="323"/>
      <c r="N261" s="323"/>
      <c r="O261" s="323"/>
      <c r="P261" s="323"/>
      <c r="Q261" s="323"/>
      <c r="R261" s="323"/>
      <c r="S261" s="323"/>
    </row>
    <row r="262" spans="1:19" s="322" customFormat="1" ht="20.100000000000001" customHeight="1" x14ac:dyDescent="0.2">
      <c r="A262" s="321"/>
      <c r="B262" s="323"/>
      <c r="C262" s="323"/>
      <c r="D262" s="323"/>
      <c r="E262" s="323"/>
      <c r="F262" s="323"/>
      <c r="G262" s="323"/>
      <c r="H262" s="323"/>
      <c r="I262" s="323"/>
      <c r="J262" s="323"/>
      <c r="K262" s="323"/>
      <c r="L262" s="323"/>
      <c r="M262" s="323"/>
      <c r="N262" s="323"/>
      <c r="O262" s="323"/>
      <c r="P262" s="323"/>
      <c r="Q262" s="323"/>
      <c r="R262" s="323"/>
      <c r="S262" s="323"/>
    </row>
    <row r="263" spans="1:19" s="322" customFormat="1" ht="20.100000000000001" customHeight="1" x14ac:dyDescent="0.2">
      <c r="A263" s="321"/>
      <c r="B263" s="323"/>
      <c r="C263" s="323"/>
      <c r="D263" s="323"/>
      <c r="E263" s="323"/>
      <c r="F263" s="323"/>
      <c r="G263" s="323"/>
      <c r="H263" s="323"/>
      <c r="I263" s="323"/>
      <c r="J263" s="323"/>
      <c r="K263" s="323"/>
      <c r="L263" s="323"/>
      <c r="M263" s="323"/>
      <c r="N263" s="323"/>
      <c r="O263" s="323"/>
      <c r="P263" s="323"/>
      <c r="Q263" s="323"/>
      <c r="R263" s="323"/>
      <c r="S263" s="323"/>
    </row>
    <row r="264" spans="1:19" s="322" customFormat="1" ht="20.100000000000001" customHeight="1" x14ac:dyDescent="0.2">
      <c r="A264" s="321"/>
      <c r="B264" s="323"/>
      <c r="C264" s="323"/>
      <c r="D264" s="323"/>
      <c r="E264" s="323"/>
      <c r="F264" s="323"/>
      <c r="G264" s="323"/>
      <c r="H264" s="323"/>
      <c r="I264" s="323"/>
      <c r="J264" s="323"/>
      <c r="K264" s="323"/>
      <c r="L264" s="323"/>
      <c r="M264" s="323"/>
      <c r="N264" s="323"/>
      <c r="O264" s="323"/>
      <c r="P264" s="323"/>
      <c r="Q264" s="323"/>
      <c r="R264" s="323"/>
      <c r="S264" s="323"/>
    </row>
    <row r="265" spans="1:19" s="322" customFormat="1" ht="20.100000000000001" customHeight="1" x14ac:dyDescent="0.2">
      <c r="A265" s="321"/>
      <c r="B265" s="323"/>
      <c r="C265" s="323"/>
      <c r="D265" s="323"/>
      <c r="E265" s="323"/>
      <c r="F265" s="323"/>
      <c r="G265" s="323"/>
      <c r="H265" s="323"/>
      <c r="I265" s="323"/>
      <c r="J265" s="323"/>
      <c r="K265" s="323"/>
      <c r="L265" s="323"/>
      <c r="M265" s="323"/>
      <c r="N265" s="323"/>
      <c r="O265" s="323"/>
      <c r="P265" s="323"/>
      <c r="Q265" s="323"/>
      <c r="R265" s="323"/>
      <c r="S265" s="323"/>
    </row>
    <row r="266" spans="1:19" s="322" customFormat="1" ht="20.100000000000001" customHeight="1" x14ac:dyDescent="0.2">
      <c r="A266" s="321"/>
      <c r="B266" s="323"/>
      <c r="C266" s="323"/>
      <c r="D266" s="323"/>
      <c r="E266" s="323"/>
      <c r="F266" s="323"/>
      <c r="G266" s="323"/>
      <c r="H266" s="323"/>
      <c r="I266" s="323"/>
      <c r="J266" s="323"/>
      <c r="K266" s="323"/>
      <c r="L266" s="323"/>
      <c r="M266" s="323"/>
      <c r="N266" s="323"/>
      <c r="O266" s="323"/>
      <c r="P266" s="323"/>
      <c r="Q266" s="323"/>
      <c r="R266" s="323"/>
      <c r="S266" s="323"/>
    </row>
    <row r="267" spans="1:19" s="322" customFormat="1" ht="20.100000000000001" customHeight="1" x14ac:dyDescent="0.2">
      <c r="A267" s="321"/>
      <c r="B267" s="323"/>
      <c r="C267" s="323"/>
      <c r="D267" s="323"/>
      <c r="E267" s="323"/>
      <c r="F267" s="323"/>
      <c r="G267" s="323"/>
      <c r="H267" s="323"/>
      <c r="I267" s="323"/>
      <c r="J267" s="323"/>
      <c r="K267" s="323"/>
      <c r="L267" s="323"/>
      <c r="M267" s="323"/>
      <c r="N267" s="323"/>
      <c r="O267" s="323"/>
      <c r="P267" s="323"/>
      <c r="Q267" s="323"/>
      <c r="R267" s="323"/>
      <c r="S267" s="323"/>
    </row>
    <row r="268" spans="1:19" s="322" customFormat="1" ht="20.100000000000001" customHeight="1" x14ac:dyDescent="0.2">
      <c r="A268" s="321"/>
      <c r="B268" s="323"/>
      <c r="C268" s="323"/>
      <c r="D268" s="323"/>
      <c r="E268" s="323"/>
      <c r="F268" s="323"/>
      <c r="G268" s="323"/>
      <c r="H268" s="323"/>
      <c r="I268" s="323"/>
      <c r="J268" s="323"/>
      <c r="K268" s="323"/>
      <c r="L268" s="323"/>
      <c r="M268" s="323"/>
      <c r="N268" s="323"/>
      <c r="O268" s="323"/>
      <c r="P268" s="323"/>
      <c r="Q268" s="323"/>
      <c r="R268" s="323"/>
      <c r="S268" s="323"/>
    </row>
    <row r="269" spans="1:19" s="322" customFormat="1" ht="20.100000000000001" customHeight="1" x14ac:dyDescent="0.2">
      <c r="A269" s="321"/>
      <c r="B269" s="323"/>
      <c r="C269" s="323"/>
      <c r="D269" s="323"/>
      <c r="E269" s="323"/>
      <c r="F269" s="323"/>
      <c r="G269" s="323"/>
      <c r="H269" s="323"/>
      <c r="I269" s="323"/>
      <c r="J269" s="323"/>
      <c r="K269" s="323"/>
      <c r="L269" s="323"/>
      <c r="M269" s="323"/>
      <c r="N269" s="323"/>
      <c r="O269" s="323"/>
      <c r="P269" s="323"/>
      <c r="Q269" s="323"/>
      <c r="R269" s="323"/>
      <c r="S269" s="323"/>
    </row>
    <row r="270" spans="1:19" s="322" customFormat="1" ht="20.100000000000001" customHeight="1" x14ac:dyDescent="0.2">
      <c r="A270" s="321"/>
      <c r="B270" s="323"/>
      <c r="C270" s="323"/>
      <c r="D270" s="323"/>
      <c r="E270" s="323"/>
      <c r="F270" s="323"/>
      <c r="G270" s="323"/>
      <c r="H270" s="323"/>
      <c r="I270" s="323"/>
      <c r="J270" s="323"/>
      <c r="K270" s="323"/>
      <c r="L270" s="323"/>
      <c r="M270" s="323"/>
      <c r="N270" s="323"/>
      <c r="O270" s="323"/>
      <c r="P270" s="323"/>
      <c r="Q270" s="323"/>
      <c r="R270" s="323"/>
      <c r="S270" s="323"/>
    </row>
    <row r="271" spans="1:19" s="322" customFormat="1" ht="20.100000000000001" customHeight="1" x14ac:dyDescent="0.2">
      <c r="A271" s="321"/>
      <c r="B271" s="323"/>
      <c r="C271" s="323"/>
      <c r="D271" s="323"/>
      <c r="E271" s="323"/>
      <c r="F271" s="323"/>
      <c r="G271" s="323"/>
      <c r="H271" s="323"/>
      <c r="I271" s="323"/>
      <c r="J271" s="323"/>
      <c r="K271" s="323"/>
      <c r="L271" s="323"/>
      <c r="M271" s="323"/>
      <c r="N271" s="323"/>
      <c r="O271" s="323"/>
      <c r="P271" s="323"/>
      <c r="Q271" s="323"/>
      <c r="R271" s="323"/>
      <c r="S271" s="323"/>
    </row>
    <row r="272" spans="1:19" s="322" customFormat="1" ht="20.100000000000001" customHeight="1" x14ac:dyDescent="0.2">
      <c r="A272" s="321"/>
      <c r="B272" s="323"/>
      <c r="C272" s="323"/>
      <c r="D272" s="323"/>
      <c r="E272" s="323"/>
      <c r="F272" s="323"/>
      <c r="G272" s="323"/>
      <c r="H272" s="323"/>
      <c r="I272" s="323"/>
      <c r="J272" s="323"/>
      <c r="K272" s="323"/>
      <c r="L272" s="323"/>
      <c r="M272" s="323"/>
      <c r="N272" s="323"/>
      <c r="O272" s="323"/>
      <c r="P272" s="323"/>
      <c r="Q272" s="323"/>
      <c r="R272" s="323"/>
      <c r="S272" s="323"/>
    </row>
    <row r="273" spans="1:19" s="322" customFormat="1" ht="20.100000000000001" customHeight="1" x14ac:dyDescent="0.2">
      <c r="A273" s="321"/>
      <c r="B273" s="323"/>
      <c r="C273" s="323"/>
      <c r="D273" s="323"/>
      <c r="E273" s="323"/>
      <c r="F273" s="323"/>
      <c r="G273" s="323"/>
      <c r="H273" s="323"/>
      <c r="I273" s="323"/>
      <c r="J273" s="323"/>
      <c r="K273" s="323"/>
      <c r="L273" s="323"/>
      <c r="M273" s="323"/>
      <c r="N273" s="323"/>
      <c r="O273" s="323"/>
      <c r="P273" s="323"/>
      <c r="Q273" s="323"/>
      <c r="R273" s="323"/>
      <c r="S273" s="323"/>
    </row>
    <row r="274" spans="1:19" s="322" customFormat="1" ht="20.100000000000001" customHeight="1" x14ac:dyDescent="0.2">
      <c r="A274" s="321"/>
      <c r="B274" s="323"/>
      <c r="C274" s="323"/>
      <c r="D274" s="323"/>
      <c r="E274" s="323"/>
      <c r="F274" s="323"/>
      <c r="G274" s="323"/>
      <c r="H274" s="323"/>
      <c r="I274" s="323"/>
      <c r="J274" s="323"/>
      <c r="K274" s="323"/>
      <c r="L274" s="323"/>
      <c r="M274" s="323"/>
      <c r="N274" s="323"/>
      <c r="O274" s="323"/>
      <c r="P274" s="323"/>
      <c r="Q274" s="323"/>
      <c r="R274" s="323"/>
      <c r="S274" s="323"/>
    </row>
    <row r="275" spans="1:19" s="322" customFormat="1" ht="20.100000000000001" customHeight="1" x14ac:dyDescent="0.2">
      <c r="A275" s="321"/>
      <c r="B275" s="323"/>
      <c r="C275" s="323"/>
      <c r="D275" s="323"/>
      <c r="E275" s="323"/>
      <c r="F275" s="323"/>
      <c r="G275" s="323"/>
      <c r="H275" s="323"/>
      <c r="I275" s="323"/>
      <c r="J275" s="323"/>
      <c r="K275" s="323"/>
      <c r="L275" s="323"/>
      <c r="M275" s="323"/>
      <c r="N275" s="323"/>
      <c r="O275" s="323"/>
      <c r="P275" s="323"/>
      <c r="Q275" s="323"/>
      <c r="R275" s="323"/>
      <c r="S275" s="323"/>
    </row>
    <row r="276" spans="1:19" s="322" customFormat="1" ht="20.100000000000001" customHeight="1" x14ac:dyDescent="0.2">
      <c r="A276" s="321"/>
      <c r="B276" s="323"/>
      <c r="C276" s="323"/>
      <c r="D276" s="323"/>
      <c r="E276" s="323"/>
      <c r="F276" s="323"/>
      <c r="G276" s="323"/>
      <c r="H276" s="323"/>
      <c r="I276" s="323"/>
      <c r="J276" s="323"/>
      <c r="K276" s="323"/>
      <c r="L276" s="323"/>
      <c r="M276" s="323"/>
      <c r="N276" s="323"/>
      <c r="O276" s="323"/>
      <c r="P276" s="323"/>
      <c r="Q276" s="323"/>
      <c r="R276" s="323"/>
      <c r="S276" s="323"/>
    </row>
    <row r="277" spans="1:19" s="322" customFormat="1" ht="20.100000000000001" customHeight="1" x14ac:dyDescent="0.2">
      <c r="A277" s="321"/>
      <c r="B277" s="323"/>
      <c r="C277" s="323"/>
      <c r="D277" s="323"/>
      <c r="E277" s="323"/>
      <c r="F277" s="323"/>
      <c r="G277" s="323"/>
      <c r="H277" s="323"/>
      <c r="I277" s="323"/>
      <c r="J277" s="323"/>
      <c r="K277" s="323"/>
      <c r="L277" s="323"/>
      <c r="M277" s="323"/>
      <c r="N277" s="323"/>
      <c r="O277" s="323"/>
      <c r="P277" s="323"/>
      <c r="Q277" s="323"/>
      <c r="R277" s="323"/>
      <c r="S277" s="323"/>
    </row>
    <row r="278" spans="1:19" ht="20.100000000000001" customHeight="1" x14ac:dyDescent="0.2"/>
    <row r="279" spans="1:19" ht="9.9499999999999993" customHeight="1" x14ac:dyDescent="0.2"/>
    <row r="280" spans="1:19" ht="20.100000000000001" customHeight="1" x14ac:dyDescent="0.2"/>
    <row r="281" spans="1:19" ht="20.100000000000001" customHeight="1" x14ac:dyDescent="0.2"/>
    <row r="282" spans="1:19" ht="20.100000000000001" customHeight="1" x14ac:dyDescent="0.2"/>
    <row r="283" spans="1:19" s="322" customFormat="1" ht="20.100000000000001" customHeight="1" x14ac:dyDescent="0.2">
      <c r="A283" s="321"/>
      <c r="B283" s="323"/>
      <c r="C283" s="323"/>
      <c r="D283" s="323"/>
      <c r="E283" s="323"/>
      <c r="F283" s="323"/>
      <c r="G283" s="323"/>
      <c r="H283" s="323"/>
      <c r="I283" s="323"/>
      <c r="J283" s="323"/>
      <c r="K283" s="323"/>
      <c r="L283" s="323"/>
      <c r="M283" s="323"/>
      <c r="N283" s="323"/>
      <c r="O283" s="323"/>
      <c r="P283" s="323"/>
      <c r="Q283" s="323"/>
      <c r="R283" s="323"/>
      <c r="S283" s="323"/>
    </row>
    <row r="284" spans="1:19" s="322" customFormat="1" ht="20.100000000000001" customHeight="1" x14ac:dyDescent="0.2">
      <c r="A284" s="321"/>
      <c r="B284" s="323"/>
      <c r="C284" s="323"/>
      <c r="D284" s="323"/>
      <c r="E284" s="323"/>
      <c r="F284" s="323"/>
      <c r="G284" s="323"/>
      <c r="H284" s="323"/>
      <c r="I284" s="323"/>
      <c r="J284" s="323"/>
      <c r="K284" s="323"/>
      <c r="L284" s="323"/>
      <c r="M284" s="323"/>
      <c r="N284" s="323"/>
      <c r="O284" s="323"/>
      <c r="P284" s="323"/>
      <c r="Q284" s="323"/>
      <c r="R284" s="323"/>
      <c r="S284" s="323"/>
    </row>
    <row r="285" spans="1:19" s="322" customFormat="1" ht="20.100000000000001" customHeight="1" x14ac:dyDescent="0.2">
      <c r="A285" s="321"/>
      <c r="B285" s="323"/>
      <c r="C285" s="323"/>
      <c r="D285" s="323"/>
      <c r="E285" s="323"/>
      <c r="F285" s="323"/>
      <c r="G285" s="323"/>
      <c r="H285" s="323"/>
      <c r="I285" s="323"/>
      <c r="J285" s="323"/>
      <c r="K285" s="323"/>
      <c r="L285" s="323"/>
      <c r="M285" s="323"/>
      <c r="N285" s="323"/>
      <c r="O285" s="323"/>
      <c r="P285" s="323"/>
      <c r="Q285" s="323"/>
      <c r="R285" s="323"/>
      <c r="S285" s="323"/>
    </row>
    <row r="286" spans="1:19" s="322" customFormat="1" ht="20.100000000000001" customHeight="1" x14ac:dyDescent="0.2">
      <c r="A286" s="321"/>
      <c r="B286" s="323"/>
      <c r="C286" s="323"/>
      <c r="D286" s="323"/>
      <c r="E286" s="323"/>
      <c r="F286" s="323"/>
      <c r="G286" s="323"/>
      <c r="H286" s="323"/>
      <c r="I286" s="323"/>
      <c r="J286" s="323"/>
      <c r="K286" s="323"/>
      <c r="L286" s="323"/>
      <c r="M286" s="323"/>
      <c r="N286" s="323"/>
      <c r="O286" s="323"/>
      <c r="P286" s="323"/>
      <c r="Q286" s="323"/>
      <c r="R286" s="323"/>
      <c r="S286" s="323"/>
    </row>
    <row r="287" spans="1:19" s="322" customFormat="1" ht="20.100000000000001" customHeight="1" x14ac:dyDescent="0.2">
      <c r="A287" s="321"/>
      <c r="B287" s="323"/>
      <c r="C287" s="323"/>
      <c r="D287" s="323"/>
      <c r="E287" s="323"/>
      <c r="F287" s="323"/>
      <c r="G287" s="323"/>
      <c r="H287" s="323"/>
      <c r="I287" s="323"/>
      <c r="J287" s="323"/>
      <c r="K287" s="323"/>
      <c r="L287" s="323"/>
      <c r="M287" s="323"/>
      <c r="N287" s="323"/>
      <c r="O287" s="323"/>
      <c r="P287" s="323"/>
      <c r="Q287" s="323"/>
      <c r="R287" s="323"/>
      <c r="S287" s="323"/>
    </row>
    <row r="288" spans="1:19" s="322" customFormat="1" ht="20.100000000000001" customHeight="1" x14ac:dyDescent="0.2">
      <c r="A288" s="321"/>
      <c r="B288" s="323"/>
      <c r="C288" s="323"/>
      <c r="D288" s="323"/>
      <c r="E288" s="323"/>
      <c r="F288" s="323"/>
      <c r="G288" s="323"/>
      <c r="H288" s="323"/>
      <c r="I288" s="323"/>
      <c r="J288" s="323"/>
      <c r="K288" s="323"/>
      <c r="L288" s="323"/>
      <c r="M288" s="323"/>
      <c r="N288" s="323"/>
      <c r="O288" s="323"/>
      <c r="P288" s="323"/>
      <c r="Q288" s="323"/>
      <c r="R288" s="323"/>
      <c r="S288" s="323"/>
    </row>
    <row r="289" spans="1:19" s="322" customFormat="1" ht="20.100000000000001" customHeight="1" x14ac:dyDescent="0.2">
      <c r="A289" s="321"/>
      <c r="B289" s="323"/>
      <c r="C289" s="323"/>
      <c r="D289" s="323"/>
      <c r="E289" s="323"/>
      <c r="F289" s="323"/>
      <c r="G289" s="323"/>
      <c r="H289" s="323"/>
      <c r="I289" s="323"/>
      <c r="J289" s="323"/>
      <c r="K289" s="323"/>
      <c r="L289" s="323"/>
      <c r="M289" s="323"/>
      <c r="N289" s="323"/>
      <c r="O289" s="323"/>
      <c r="P289" s="323"/>
      <c r="Q289" s="323"/>
      <c r="R289" s="323"/>
      <c r="S289" s="323"/>
    </row>
    <row r="290" spans="1:19" s="322" customFormat="1" ht="20.100000000000001" customHeight="1" x14ac:dyDescent="0.2">
      <c r="A290" s="321"/>
      <c r="B290" s="323"/>
      <c r="C290" s="323"/>
      <c r="D290" s="323"/>
      <c r="E290" s="323"/>
      <c r="F290" s="323"/>
      <c r="G290" s="323"/>
      <c r="H290" s="323"/>
      <c r="I290" s="323"/>
      <c r="J290" s="323"/>
      <c r="K290" s="323"/>
      <c r="L290" s="323"/>
      <c r="M290" s="323"/>
      <c r="N290" s="323"/>
      <c r="O290" s="323"/>
      <c r="P290" s="323"/>
      <c r="Q290" s="323"/>
      <c r="R290" s="323"/>
      <c r="S290" s="323"/>
    </row>
    <row r="291" spans="1:19" s="322" customFormat="1" ht="20.100000000000001" customHeight="1" x14ac:dyDescent="0.2">
      <c r="A291" s="321"/>
      <c r="B291" s="323"/>
      <c r="C291" s="323"/>
      <c r="D291" s="323"/>
      <c r="E291" s="323"/>
      <c r="F291" s="323"/>
      <c r="G291" s="323"/>
      <c r="H291" s="323"/>
      <c r="I291" s="323"/>
      <c r="J291" s="323"/>
      <c r="K291" s="323"/>
      <c r="L291" s="323"/>
      <c r="M291" s="323"/>
      <c r="N291" s="323"/>
      <c r="O291" s="323"/>
      <c r="P291" s="323"/>
      <c r="Q291" s="323"/>
      <c r="R291" s="323"/>
      <c r="S291" s="323"/>
    </row>
    <row r="292" spans="1:19" s="322" customFormat="1" ht="20.100000000000001" customHeight="1" x14ac:dyDescent="0.2">
      <c r="A292" s="321"/>
      <c r="B292" s="323"/>
      <c r="C292" s="323"/>
      <c r="D292" s="323"/>
      <c r="E292" s="323"/>
      <c r="F292" s="323"/>
      <c r="G292" s="323"/>
      <c r="H292" s="323"/>
      <c r="I292" s="323"/>
      <c r="J292" s="323"/>
      <c r="K292" s="323"/>
      <c r="L292" s="323"/>
      <c r="M292" s="323"/>
      <c r="N292" s="323"/>
      <c r="O292" s="323"/>
      <c r="P292" s="323"/>
      <c r="Q292" s="323"/>
      <c r="R292" s="323"/>
      <c r="S292" s="323"/>
    </row>
    <row r="293" spans="1:19" s="322" customFormat="1" ht="20.100000000000001" customHeight="1" x14ac:dyDescent="0.2">
      <c r="A293" s="321"/>
      <c r="B293" s="323"/>
      <c r="C293" s="323"/>
      <c r="D293" s="323"/>
      <c r="E293" s="323"/>
      <c r="F293" s="323"/>
      <c r="G293" s="323"/>
      <c r="H293" s="323"/>
      <c r="I293" s="323"/>
      <c r="J293" s="323"/>
      <c r="K293" s="323"/>
      <c r="L293" s="323"/>
      <c r="M293" s="323"/>
      <c r="N293" s="323"/>
      <c r="O293" s="323"/>
      <c r="P293" s="323"/>
      <c r="Q293" s="323"/>
      <c r="R293" s="323"/>
      <c r="S293" s="323"/>
    </row>
    <row r="294" spans="1:19" s="322" customFormat="1" ht="20.100000000000001" customHeight="1" x14ac:dyDescent="0.2">
      <c r="A294" s="321"/>
      <c r="B294" s="323"/>
      <c r="C294" s="323"/>
      <c r="D294" s="323"/>
      <c r="E294" s="323"/>
      <c r="F294" s="323"/>
      <c r="G294" s="323"/>
      <c r="H294" s="323"/>
      <c r="I294" s="323"/>
      <c r="J294" s="323"/>
      <c r="K294" s="323"/>
      <c r="L294" s="323"/>
      <c r="M294" s="323"/>
      <c r="N294" s="323"/>
      <c r="O294" s="323"/>
      <c r="P294" s="323"/>
      <c r="Q294" s="323"/>
      <c r="R294" s="323"/>
      <c r="S294" s="323"/>
    </row>
    <row r="295" spans="1:19" s="322" customFormat="1" ht="20.100000000000001" customHeight="1" x14ac:dyDescent="0.2">
      <c r="A295" s="321"/>
      <c r="B295" s="323"/>
      <c r="C295" s="323"/>
      <c r="D295" s="323"/>
      <c r="E295" s="323"/>
      <c r="F295" s="323"/>
      <c r="G295" s="323"/>
      <c r="H295" s="323"/>
      <c r="I295" s="323"/>
      <c r="J295" s="323"/>
      <c r="K295" s="323"/>
      <c r="L295" s="323"/>
      <c r="M295" s="323"/>
      <c r="N295" s="323"/>
      <c r="O295" s="323"/>
      <c r="P295" s="323"/>
      <c r="Q295" s="323"/>
      <c r="R295" s="323"/>
      <c r="S295" s="323"/>
    </row>
    <row r="296" spans="1:19" s="322" customFormat="1" ht="20.100000000000001" customHeight="1" x14ac:dyDescent="0.2">
      <c r="A296" s="321"/>
      <c r="B296" s="323"/>
      <c r="C296" s="323"/>
      <c r="D296" s="323"/>
      <c r="E296" s="323"/>
      <c r="F296" s="323"/>
      <c r="G296" s="323"/>
      <c r="H296" s="323"/>
      <c r="I296" s="323"/>
      <c r="J296" s="323"/>
      <c r="K296" s="323"/>
      <c r="L296" s="323"/>
      <c r="M296" s="323"/>
      <c r="N296" s="323"/>
      <c r="O296" s="323"/>
      <c r="P296" s="323"/>
      <c r="Q296" s="323"/>
      <c r="R296" s="323"/>
      <c r="S296" s="323"/>
    </row>
    <row r="297" spans="1:19" s="322" customFormat="1" ht="20.100000000000001" customHeight="1" x14ac:dyDescent="0.2">
      <c r="A297" s="321"/>
      <c r="B297" s="323"/>
      <c r="C297" s="323"/>
      <c r="D297" s="323"/>
      <c r="E297" s="323"/>
      <c r="F297" s="323"/>
      <c r="G297" s="323"/>
      <c r="H297" s="323"/>
      <c r="I297" s="323"/>
      <c r="J297" s="323"/>
      <c r="K297" s="323"/>
      <c r="L297" s="323"/>
      <c r="M297" s="323"/>
      <c r="N297" s="323"/>
      <c r="O297" s="323"/>
      <c r="P297" s="323"/>
      <c r="Q297" s="323"/>
      <c r="R297" s="323"/>
      <c r="S297" s="323"/>
    </row>
    <row r="298" spans="1:19" s="322" customFormat="1" ht="20.100000000000001" customHeight="1" x14ac:dyDescent="0.2">
      <c r="A298" s="321"/>
      <c r="B298" s="323"/>
      <c r="C298" s="323"/>
      <c r="D298" s="323"/>
      <c r="E298" s="323"/>
      <c r="F298" s="323"/>
      <c r="G298" s="323"/>
      <c r="H298" s="323"/>
      <c r="I298" s="323"/>
      <c r="J298" s="323"/>
      <c r="K298" s="323"/>
      <c r="L298" s="323"/>
      <c r="M298" s="323"/>
      <c r="N298" s="323"/>
      <c r="O298" s="323"/>
      <c r="P298" s="323"/>
      <c r="Q298" s="323"/>
      <c r="R298" s="323"/>
      <c r="S298" s="323"/>
    </row>
    <row r="299" spans="1:19" s="322" customFormat="1" ht="20.100000000000001" customHeight="1" x14ac:dyDescent="0.2">
      <c r="A299" s="321"/>
      <c r="B299" s="323"/>
      <c r="C299" s="323"/>
      <c r="D299" s="323"/>
      <c r="E299" s="323"/>
      <c r="F299" s="323"/>
      <c r="G299" s="323"/>
      <c r="H299" s="323"/>
      <c r="I299" s="323"/>
      <c r="J299" s="323"/>
      <c r="K299" s="323"/>
      <c r="L299" s="323"/>
      <c r="M299" s="323"/>
      <c r="N299" s="323"/>
      <c r="O299" s="323"/>
      <c r="P299" s="323"/>
      <c r="Q299" s="323"/>
      <c r="R299" s="323"/>
      <c r="S299" s="323"/>
    </row>
    <row r="300" spans="1:19" s="322" customFormat="1" ht="20.100000000000001" customHeight="1" x14ac:dyDescent="0.2">
      <c r="A300" s="321"/>
      <c r="B300" s="323"/>
      <c r="C300" s="323"/>
      <c r="D300" s="323"/>
      <c r="E300" s="323"/>
      <c r="F300" s="323"/>
      <c r="G300" s="323"/>
      <c r="H300" s="323"/>
      <c r="I300" s="323"/>
      <c r="J300" s="323"/>
      <c r="K300" s="323"/>
      <c r="L300" s="323"/>
      <c r="M300" s="323"/>
      <c r="N300" s="323"/>
      <c r="O300" s="323"/>
      <c r="P300" s="323"/>
      <c r="Q300" s="323"/>
      <c r="R300" s="323"/>
      <c r="S300" s="323"/>
    </row>
    <row r="301" spans="1:19" s="322" customFormat="1" ht="20.100000000000001" customHeight="1" x14ac:dyDescent="0.2">
      <c r="A301" s="321"/>
      <c r="B301" s="323"/>
      <c r="C301" s="323"/>
      <c r="D301" s="323"/>
      <c r="E301" s="323"/>
      <c r="F301" s="323"/>
      <c r="G301" s="323"/>
      <c r="H301" s="323"/>
      <c r="I301" s="323"/>
      <c r="J301" s="323"/>
      <c r="K301" s="323"/>
      <c r="L301" s="323"/>
      <c r="M301" s="323"/>
      <c r="N301" s="323"/>
      <c r="O301" s="323"/>
      <c r="P301" s="323"/>
      <c r="Q301" s="323"/>
      <c r="R301" s="323"/>
      <c r="S301" s="323"/>
    </row>
    <row r="302" spans="1:19" s="322" customFormat="1" ht="20.100000000000001" customHeight="1" x14ac:dyDescent="0.2">
      <c r="A302" s="321"/>
      <c r="B302" s="323"/>
      <c r="C302" s="323"/>
      <c r="D302" s="323"/>
      <c r="E302" s="323"/>
      <c r="F302" s="323"/>
      <c r="G302" s="323"/>
      <c r="H302" s="323"/>
      <c r="I302" s="323"/>
      <c r="J302" s="323"/>
      <c r="K302" s="323"/>
      <c r="L302" s="323"/>
      <c r="M302" s="323"/>
      <c r="N302" s="323"/>
      <c r="O302" s="323"/>
      <c r="P302" s="323"/>
      <c r="Q302" s="323"/>
      <c r="R302" s="323"/>
      <c r="S302" s="323"/>
    </row>
    <row r="303" spans="1:19" s="322" customFormat="1" ht="20.100000000000001" customHeight="1" x14ac:dyDescent="0.2">
      <c r="A303" s="321"/>
      <c r="B303" s="323"/>
      <c r="C303" s="323"/>
      <c r="D303" s="323"/>
      <c r="E303" s="323"/>
      <c r="F303" s="323"/>
      <c r="G303" s="323"/>
      <c r="H303" s="323"/>
      <c r="I303" s="323"/>
      <c r="J303" s="323"/>
      <c r="K303" s="323"/>
      <c r="L303" s="323"/>
      <c r="M303" s="323"/>
      <c r="N303" s="323"/>
      <c r="O303" s="323"/>
      <c r="P303" s="323"/>
      <c r="Q303" s="323"/>
      <c r="R303" s="323"/>
      <c r="S303" s="323"/>
    </row>
    <row r="304" spans="1:19" s="322" customFormat="1" ht="20.100000000000001" customHeight="1" x14ac:dyDescent="0.2">
      <c r="A304" s="321"/>
      <c r="B304" s="323"/>
      <c r="C304" s="323"/>
      <c r="D304" s="323"/>
      <c r="E304" s="323"/>
      <c r="F304" s="323"/>
      <c r="G304" s="323"/>
      <c r="H304" s="323"/>
      <c r="I304" s="323"/>
      <c r="J304" s="323"/>
      <c r="K304" s="323"/>
      <c r="L304" s="323"/>
      <c r="M304" s="323"/>
      <c r="N304" s="323"/>
      <c r="O304" s="323"/>
      <c r="P304" s="323"/>
      <c r="Q304" s="323"/>
      <c r="R304" s="323"/>
      <c r="S304" s="323"/>
    </row>
    <row r="305" spans="1:19" s="322" customFormat="1" ht="20.100000000000001" customHeight="1" x14ac:dyDescent="0.2">
      <c r="A305" s="321"/>
      <c r="B305" s="323"/>
      <c r="C305" s="323"/>
      <c r="D305" s="323"/>
      <c r="E305" s="323"/>
      <c r="F305" s="323"/>
      <c r="G305" s="323"/>
      <c r="H305" s="323"/>
      <c r="I305" s="323"/>
      <c r="J305" s="323"/>
      <c r="K305" s="323"/>
      <c r="L305" s="323"/>
      <c r="M305" s="323"/>
      <c r="N305" s="323"/>
      <c r="O305" s="323"/>
      <c r="P305" s="323"/>
      <c r="Q305" s="323"/>
      <c r="R305" s="323"/>
      <c r="S305" s="323"/>
    </row>
    <row r="306" spans="1:19" s="322" customFormat="1" ht="20.100000000000001" customHeight="1" x14ac:dyDescent="0.2">
      <c r="A306" s="321"/>
      <c r="B306" s="323"/>
      <c r="C306" s="323"/>
      <c r="D306" s="323"/>
      <c r="E306" s="323"/>
      <c r="F306" s="323"/>
      <c r="G306" s="323"/>
      <c r="H306" s="323"/>
      <c r="I306" s="323"/>
      <c r="J306" s="323"/>
      <c r="K306" s="323"/>
      <c r="L306" s="323"/>
      <c r="M306" s="323"/>
      <c r="N306" s="323"/>
      <c r="O306" s="323"/>
      <c r="P306" s="323"/>
      <c r="Q306" s="323"/>
      <c r="R306" s="323"/>
      <c r="S306" s="323"/>
    </row>
    <row r="307" spans="1:19" s="322" customFormat="1" ht="20.100000000000001" customHeight="1" x14ac:dyDescent="0.2">
      <c r="A307" s="321"/>
      <c r="B307" s="323"/>
      <c r="C307" s="323"/>
      <c r="D307" s="323"/>
      <c r="E307" s="323"/>
      <c r="F307" s="323"/>
      <c r="G307" s="323"/>
      <c r="H307" s="323"/>
      <c r="I307" s="323"/>
      <c r="J307" s="323"/>
      <c r="K307" s="323"/>
      <c r="L307" s="323"/>
      <c r="M307" s="323"/>
      <c r="N307" s="323"/>
      <c r="O307" s="323"/>
      <c r="P307" s="323"/>
      <c r="Q307" s="323"/>
      <c r="R307" s="323"/>
      <c r="S307" s="323"/>
    </row>
    <row r="308" spans="1:19" s="322" customFormat="1" ht="20.100000000000001" customHeight="1" x14ac:dyDescent="0.2">
      <c r="A308" s="321"/>
      <c r="B308" s="323"/>
      <c r="C308" s="323"/>
      <c r="D308" s="323"/>
      <c r="E308" s="323"/>
      <c r="F308" s="323"/>
      <c r="G308" s="323"/>
      <c r="H308" s="323"/>
      <c r="I308" s="323"/>
      <c r="J308" s="323"/>
      <c r="K308" s="323"/>
      <c r="L308" s="323"/>
      <c r="M308" s="323"/>
      <c r="N308" s="323"/>
      <c r="O308" s="323"/>
      <c r="P308" s="323"/>
      <c r="Q308" s="323"/>
      <c r="R308" s="323"/>
      <c r="S308" s="323"/>
    </row>
    <row r="309" spans="1:19" s="322" customFormat="1" ht="20.100000000000001" customHeight="1" x14ac:dyDescent="0.2">
      <c r="A309" s="321"/>
      <c r="B309" s="323"/>
      <c r="C309" s="323"/>
      <c r="D309" s="323"/>
      <c r="E309" s="323"/>
      <c r="F309" s="323"/>
      <c r="G309" s="323"/>
      <c r="H309" s="323"/>
      <c r="I309" s="323"/>
      <c r="J309" s="323"/>
      <c r="K309" s="323"/>
      <c r="L309" s="323"/>
      <c r="M309" s="323"/>
      <c r="N309" s="323"/>
      <c r="O309" s="323"/>
      <c r="P309" s="323"/>
      <c r="Q309" s="323"/>
      <c r="R309" s="323"/>
      <c r="S309" s="323"/>
    </row>
    <row r="310" spans="1:19" s="322" customFormat="1" ht="20.100000000000001" customHeight="1" x14ac:dyDescent="0.2">
      <c r="A310" s="321"/>
      <c r="B310" s="323"/>
      <c r="C310" s="323"/>
      <c r="D310" s="323"/>
      <c r="E310" s="323"/>
      <c r="F310" s="323"/>
      <c r="G310" s="323"/>
      <c r="H310" s="323"/>
      <c r="I310" s="323"/>
      <c r="J310" s="323"/>
      <c r="K310" s="323"/>
      <c r="L310" s="323"/>
      <c r="M310" s="323"/>
      <c r="N310" s="323"/>
      <c r="O310" s="323"/>
      <c r="P310" s="323"/>
      <c r="Q310" s="323"/>
      <c r="R310" s="323"/>
      <c r="S310" s="323"/>
    </row>
    <row r="311" spans="1:19" s="322" customFormat="1" ht="20.100000000000001" customHeight="1" x14ac:dyDescent="0.2">
      <c r="A311" s="321"/>
      <c r="B311" s="323"/>
      <c r="C311" s="323"/>
      <c r="D311" s="323"/>
      <c r="E311" s="323"/>
      <c r="F311" s="323"/>
      <c r="G311" s="323"/>
      <c r="H311" s="323"/>
      <c r="I311" s="323"/>
      <c r="J311" s="323"/>
      <c r="K311" s="323"/>
      <c r="L311" s="323"/>
      <c r="M311" s="323"/>
      <c r="N311" s="323"/>
      <c r="O311" s="323"/>
      <c r="P311" s="323"/>
      <c r="Q311" s="323"/>
      <c r="R311" s="323"/>
      <c r="S311" s="323"/>
    </row>
    <row r="312" spans="1:19" s="322" customFormat="1" ht="20.100000000000001" customHeight="1" x14ac:dyDescent="0.2">
      <c r="A312" s="321"/>
      <c r="B312" s="323"/>
      <c r="C312" s="323"/>
      <c r="D312" s="323"/>
      <c r="E312" s="323"/>
      <c r="F312" s="323"/>
      <c r="G312" s="323"/>
      <c r="H312" s="323"/>
      <c r="I312" s="323"/>
      <c r="J312" s="323"/>
      <c r="K312" s="323"/>
      <c r="L312" s="323"/>
      <c r="M312" s="323"/>
      <c r="N312" s="323"/>
      <c r="O312" s="323"/>
      <c r="P312" s="323"/>
      <c r="Q312" s="323"/>
      <c r="R312" s="323"/>
      <c r="S312" s="323"/>
    </row>
    <row r="313" spans="1:19" s="322" customFormat="1" ht="20.100000000000001" customHeight="1" x14ac:dyDescent="0.2">
      <c r="A313" s="321"/>
      <c r="B313" s="323"/>
      <c r="C313" s="323"/>
      <c r="D313" s="323"/>
      <c r="E313" s="323"/>
      <c r="F313" s="323"/>
      <c r="G313" s="323"/>
      <c r="H313" s="323"/>
      <c r="I313" s="323"/>
      <c r="J313" s="323"/>
      <c r="K313" s="323"/>
      <c r="L313" s="323"/>
      <c r="M313" s="323"/>
      <c r="N313" s="323"/>
      <c r="O313" s="323"/>
      <c r="P313" s="323"/>
      <c r="Q313" s="323"/>
      <c r="R313" s="323"/>
      <c r="S313" s="323"/>
    </row>
    <row r="314" spans="1:19" s="322" customFormat="1" ht="20.100000000000001" customHeight="1" x14ac:dyDescent="0.2">
      <c r="A314" s="321"/>
      <c r="B314" s="323"/>
      <c r="C314" s="323"/>
      <c r="D314" s="323"/>
      <c r="E314" s="323"/>
      <c r="F314" s="323"/>
      <c r="G314" s="323"/>
      <c r="H314" s="323"/>
      <c r="I314" s="323"/>
      <c r="J314" s="323"/>
      <c r="K314" s="323"/>
      <c r="L314" s="323"/>
      <c r="M314" s="323"/>
      <c r="N314" s="323"/>
      <c r="O314" s="323"/>
      <c r="P314" s="323"/>
      <c r="Q314" s="323"/>
      <c r="R314" s="323"/>
      <c r="S314" s="323"/>
    </row>
    <row r="315" spans="1:19" s="322" customFormat="1" ht="20.100000000000001" customHeight="1" x14ac:dyDescent="0.2">
      <c r="A315" s="321"/>
      <c r="B315" s="323"/>
      <c r="C315" s="323"/>
      <c r="D315" s="323"/>
      <c r="E315" s="323"/>
      <c r="F315" s="323"/>
      <c r="G315" s="323"/>
      <c r="H315" s="323"/>
      <c r="I315" s="323"/>
      <c r="J315" s="323"/>
      <c r="K315" s="323"/>
      <c r="L315" s="323"/>
      <c r="M315" s="323"/>
      <c r="N315" s="323"/>
      <c r="O315" s="323"/>
      <c r="P315" s="323"/>
      <c r="Q315" s="323"/>
      <c r="R315" s="323"/>
      <c r="S315" s="323"/>
    </row>
    <row r="316" spans="1:19" s="322" customFormat="1" ht="20.100000000000001" customHeight="1" x14ac:dyDescent="0.2">
      <c r="A316" s="321"/>
      <c r="B316" s="323"/>
      <c r="C316" s="323"/>
      <c r="D316" s="323"/>
      <c r="E316" s="323"/>
      <c r="F316" s="323"/>
      <c r="G316" s="323"/>
      <c r="H316" s="323"/>
      <c r="I316" s="323"/>
      <c r="J316" s="323"/>
      <c r="K316" s="323"/>
      <c r="L316" s="323"/>
      <c r="M316" s="323"/>
      <c r="N316" s="323"/>
      <c r="O316" s="323"/>
      <c r="P316" s="323"/>
      <c r="Q316" s="323"/>
      <c r="R316" s="323"/>
      <c r="S316" s="323"/>
    </row>
    <row r="317" spans="1:19" s="322" customFormat="1" ht="20.100000000000001" customHeight="1" x14ac:dyDescent="0.2">
      <c r="A317" s="321"/>
      <c r="B317" s="323"/>
      <c r="C317" s="323"/>
      <c r="D317" s="323"/>
      <c r="E317" s="323"/>
      <c r="F317" s="323"/>
      <c r="G317" s="323"/>
      <c r="H317" s="323"/>
      <c r="I317" s="323"/>
      <c r="J317" s="323"/>
      <c r="K317" s="323"/>
      <c r="L317" s="323"/>
      <c r="M317" s="323"/>
      <c r="N317" s="323"/>
      <c r="O317" s="323"/>
      <c r="P317" s="323"/>
      <c r="Q317" s="323"/>
      <c r="R317" s="323"/>
      <c r="S317" s="323"/>
    </row>
    <row r="318" spans="1:19" s="322" customFormat="1" ht="20.100000000000001" customHeight="1" x14ac:dyDescent="0.2">
      <c r="A318" s="321"/>
      <c r="B318" s="323"/>
      <c r="C318" s="323"/>
      <c r="D318" s="323"/>
      <c r="E318" s="323"/>
      <c r="F318" s="323"/>
      <c r="G318" s="323"/>
      <c r="H318" s="323"/>
      <c r="I318" s="323"/>
      <c r="J318" s="323"/>
      <c r="K318" s="323"/>
      <c r="L318" s="323"/>
      <c r="M318" s="323"/>
      <c r="N318" s="323"/>
      <c r="O318" s="323"/>
      <c r="P318" s="323"/>
      <c r="Q318" s="323"/>
      <c r="R318" s="323"/>
      <c r="S318" s="323"/>
    </row>
    <row r="319" spans="1:19" s="322" customFormat="1" ht="20.100000000000001" customHeight="1" x14ac:dyDescent="0.2">
      <c r="A319" s="321"/>
      <c r="B319" s="323"/>
      <c r="C319" s="323"/>
      <c r="D319" s="323"/>
      <c r="E319" s="323"/>
      <c r="F319" s="323"/>
      <c r="G319" s="323"/>
      <c r="H319" s="323"/>
      <c r="I319" s="323"/>
      <c r="J319" s="323"/>
      <c r="K319" s="323"/>
      <c r="L319" s="323"/>
      <c r="M319" s="323"/>
      <c r="N319" s="323"/>
      <c r="O319" s="323"/>
      <c r="P319" s="323"/>
      <c r="Q319" s="323"/>
      <c r="R319" s="323"/>
      <c r="S319" s="323"/>
    </row>
    <row r="320" spans="1:19" ht="20.100000000000001" customHeight="1" x14ac:dyDescent="0.2"/>
    <row r="321" spans="1:19" ht="9.9499999999999993" customHeight="1" x14ac:dyDescent="0.2"/>
    <row r="322" spans="1:19" ht="20.100000000000001" customHeight="1" x14ac:dyDescent="0.2"/>
    <row r="323" spans="1:19" ht="20.100000000000001" customHeight="1" x14ac:dyDescent="0.2"/>
    <row r="324" spans="1:19" ht="20.100000000000001" customHeight="1" x14ac:dyDescent="0.2"/>
    <row r="325" spans="1:19" s="322" customFormat="1" ht="20.100000000000001" customHeight="1" x14ac:dyDescent="0.2">
      <c r="A325" s="321"/>
      <c r="B325" s="323"/>
      <c r="C325" s="323"/>
      <c r="D325" s="323"/>
      <c r="E325" s="323"/>
      <c r="F325" s="323"/>
      <c r="G325" s="323"/>
      <c r="H325" s="323"/>
      <c r="I325" s="323"/>
      <c r="J325" s="323"/>
      <c r="K325" s="323"/>
      <c r="L325" s="323"/>
      <c r="M325" s="323"/>
      <c r="N325" s="323"/>
      <c r="O325" s="323"/>
      <c r="P325" s="323"/>
      <c r="Q325" s="323"/>
      <c r="R325" s="323"/>
      <c r="S325" s="323"/>
    </row>
    <row r="326" spans="1:19" s="322" customFormat="1" ht="20.100000000000001" customHeight="1" x14ac:dyDescent="0.2">
      <c r="A326" s="321"/>
      <c r="B326" s="323"/>
      <c r="C326" s="323"/>
      <c r="D326" s="323"/>
      <c r="E326" s="323"/>
      <c r="F326" s="323"/>
      <c r="G326" s="323"/>
      <c r="H326" s="323"/>
      <c r="I326" s="323"/>
      <c r="J326" s="323"/>
      <c r="K326" s="323"/>
      <c r="L326" s="323"/>
      <c r="M326" s="323"/>
      <c r="N326" s="323"/>
      <c r="O326" s="323"/>
      <c r="P326" s="323"/>
      <c r="Q326" s="323"/>
      <c r="R326" s="323"/>
      <c r="S326" s="323"/>
    </row>
    <row r="327" spans="1:19" s="322" customFormat="1" ht="20.100000000000001" customHeight="1" x14ac:dyDescent="0.2">
      <c r="A327" s="321"/>
      <c r="B327" s="323"/>
      <c r="C327" s="323"/>
      <c r="D327" s="323"/>
      <c r="E327" s="323"/>
      <c r="F327" s="323"/>
      <c r="G327" s="323"/>
      <c r="H327" s="323"/>
      <c r="I327" s="323"/>
      <c r="J327" s="323"/>
      <c r="K327" s="323"/>
      <c r="L327" s="323"/>
      <c r="M327" s="323"/>
      <c r="N327" s="323"/>
      <c r="O327" s="323"/>
      <c r="P327" s="323"/>
      <c r="Q327" s="323"/>
      <c r="R327" s="323"/>
      <c r="S327" s="323"/>
    </row>
    <row r="328" spans="1:19" s="322" customFormat="1" ht="20.100000000000001" customHeight="1" x14ac:dyDescent="0.2">
      <c r="A328" s="321"/>
      <c r="B328" s="323"/>
      <c r="C328" s="323"/>
      <c r="D328" s="323"/>
      <c r="E328" s="323"/>
      <c r="F328" s="323"/>
      <c r="G328" s="323"/>
      <c r="H328" s="323"/>
      <c r="I328" s="323"/>
      <c r="J328" s="323"/>
      <c r="K328" s="323"/>
      <c r="L328" s="323"/>
      <c r="M328" s="323"/>
      <c r="N328" s="323"/>
      <c r="O328" s="323"/>
      <c r="P328" s="323"/>
      <c r="Q328" s="323"/>
      <c r="R328" s="323"/>
      <c r="S328" s="323"/>
    </row>
    <row r="329" spans="1:19" s="322" customFormat="1" ht="20.100000000000001" customHeight="1" x14ac:dyDescent="0.2">
      <c r="A329" s="321"/>
      <c r="B329" s="323"/>
      <c r="C329" s="323"/>
      <c r="D329" s="323"/>
      <c r="E329" s="323"/>
      <c r="F329" s="323"/>
      <c r="G329" s="323"/>
      <c r="H329" s="323"/>
      <c r="I329" s="323"/>
      <c r="J329" s="323"/>
      <c r="K329" s="323"/>
      <c r="L329" s="323"/>
      <c r="M329" s="323"/>
      <c r="N329" s="323"/>
      <c r="O329" s="323"/>
      <c r="P329" s="323"/>
      <c r="Q329" s="323"/>
      <c r="R329" s="323"/>
      <c r="S329" s="323"/>
    </row>
    <row r="330" spans="1:19" s="322" customFormat="1" ht="20.100000000000001" customHeight="1" x14ac:dyDescent="0.2">
      <c r="A330" s="321"/>
      <c r="B330" s="323"/>
      <c r="C330" s="323"/>
      <c r="D330" s="323"/>
      <c r="E330" s="323"/>
      <c r="F330" s="323"/>
      <c r="G330" s="323"/>
      <c r="H330" s="323"/>
      <c r="I330" s="323"/>
      <c r="J330" s="323"/>
      <c r="K330" s="323"/>
      <c r="L330" s="323"/>
      <c r="M330" s="323"/>
      <c r="N330" s="323"/>
      <c r="O330" s="323"/>
      <c r="P330" s="323"/>
      <c r="Q330" s="323"/>
      <c r="R330" s="323"/>
      <c r="S330" s="323"/>
    </row>
    <row r="331" spans="1:19" s="322" customFormat="1" ht="20.100000000000001" customHeight="1" x14ac:dyDescent="0.2">
      <c r="A331" s="321"/>
      <c r="B331" s="323"/>
      <c r="C331" s="323"/>
      <c r="D331" s="323"/>
      <c r="E331" s="323"/>
      <c r="F331" s="323"/>
      <c r="G331" s="323"/>
      <c r="H331" s="323"/>
      <c r="I331" s="323"/>
      <c r="J331" s="323"/>
      <c r="K331" s="323"/>
      <c r="L331" s="323"/>
      <c r="M331" s="323"/>
      <c r="N331" s="323"/>
      <c r="O331" s="323"/>
      <c r="P331" s="323"/>
      <c r="Q331" s="323"/>
      <c r="R331" s="323"/>
      <c r="S331" s="323"/>
    </row>
    <row r="332" spans="1:19" s="322" customFormat="1" ht="20.100000000000001" customHeight="1" x14ac:dyDescent="0.2">
      <c r="A332" s="321"/>
      <c r="B332" s="323"/>
      <c r="C332" s="323"/>
      <c r="D332" s="323"/>
      <c r="E332" s="323"/>
      <c r="F332" s="323"/>
      <c r="G332" s="323"/>
      <c r="H332" s="323"/>
      <c r="I332" s="323"/>
      <c r="J332" s="323"/>
      <c r="K332" s="323"/>
      <c r="L332" s="323"/>
      <c r="M332" s="323"/>
      <c r="N332" s="323"/>
      <c r="O332" s="323"/>
      <c r="P332" s="323"/>
      <c r="Q332" s="323"/>
      <c r="R332" s="323"/>
      <c r="S332" s="323"/>
    </row>
    <row r="333" spans="1:19" s="322" customFormat="1" ht="20.100000000000001" customHeight="1" x14ac:dyDescent="0.2">
      <c r="A333" s="321"/>
      <c r="B333" s="323"/>
      <c r="C333" s="323"/>
      <c r="D333" s="323"/>
      <c r="E333" s="323"/>
      <c r="F333" s="323"/>
      <c r="G333" s="323"/>
      <c r="H333" s="323"/>
      <c r="I333" s="323"/>
      <c r="J333" s="323"/>
      <c r="K333" s="323"/>
      <c r="L333" s="323"/>
      <c r="M333" s="323"/>
      <c r="N333" s="323"/>
      <c r="O333" s="323"/>
      <c r="P333" s="323"/>
      <c r="Q333" s="323"/>
      <c r="R333" s="323"/>
      <c r="S333" s="323"/>
    </row>
    <row r="334" spans="1:19" s="322" customFormat="1" ht="20.100000000000001" customHeight="1" x14ac:dyDescent="0.2">
      <c r="A334" s="321"/>
      <c r="B334" s="323"/>
      <c r="C334" s="323"/>
      <c r="D334" s="323"/>
      <c r="E334" s="323"/>
      <c r="F334" s="323"/>
      <c r="G334" s="323"/>
      <c r="H334" s="323"/>
      <c r="I334" s="323"/>
      <c r="J334" s="323"/>
      <c r="K334" s="323"/>
      <c r="L334" s="323"/>
      <c r="M334" s="323"/>
      <c r="N334" s="323"/>
      <c r="O334" s="323"/>
      <c r="P334" s="323"/>
      <c r="Q334" s="323"/>
      <c r="R334" s="323"/>
      <c r="S334" s="323"/>
    </row>
    <row r="335" spans="1:19" s="322" customFormat="1" ht="20.100000000000001" customHeight="1" x14ac:dyDescent="0.2">
      <c r="A335" s="321"/>
      <c r="B335" s="323"/>
      <c r="C335" s="323"/>
      <c r="D335" s="323"/>
      <c r="E335" s="323"/>
      <c r="F335" s="323"/>
      <c r="G335" s="323"/>
      <c r="H335" s="323"/>
      <c r="I335" s="323"/>
      <c r="J335" s="323"/>
      <c r="K335" s="323"/>
      <c r="L335" s="323"/>
      <c r="M335" s="323"/>
      <c r="N335" s="323"/>
      <c r="O335" s="323"/>
      <c r="P335" s="323"/>
      <c r="Q335" s="323"/>
      <c r="R335" s="323"/>
      <c r="S335" s="323"/>
    </row>
    <row r="336" spans="1:19" s="322" customFormat="1" ht="20.100000000000001" customHeight="1" x14ac:dyDescent="0.2">
      <c r="A336" s="321"/>
      <c r="B336" s="323"/>
      <c r="C336" s="323"/>
      <c r="D336" s="323"/>
      <c r="E336" s="323"/>
      <c r="F336" s="323"/>
      <c r="G336" s="323"/>
      <c r="H336" s="323"/>
      <c r="I336" s="323"/>
      <c r="J336" s="323"/>
      <c r="K336" s="323"/>
      <c r="L336" s="323"/>
      <c r="M336" s="323"/>
      <c r="N336" s="323"/>
      <c r="O336" s="323"/>
      <c r="P336" s="323"/>
      <c r="Q336" s="323"/>
      <c r="R336" s="323"/>
      <c r="S336" s="323"/>
    </row>
    <row r="337" spans="1:19" s="322" customFormat="1" ht="20.100000000000001" customHeight="1" x14ac:dyDescent="0.2">
      <c r="A337" s="321"/>
      <c r="B337" s="323"/>
      <c r="C337" s="323"/>
      <c r="D337" s="323"/>
      <c r="E337" s="323"/>
      <c r="F337" s="323"/>
      <c r="G337" s="323"/>
      <c r="H337" s="323"/>
      <c r="I337" s="323"/>
      <c r="J337" s="323"/>
      <c r="K337" s="323"/>
      <c r="L337" s="323"/>
      <c r="M337" s="323"/>
      <c r="N337" s="323"/>
      <c r="O337" s="323"/>
      <c r="P337" s="323"/>
      <c r="Q337" s="323"/>
      <c r="R337" s="323"/>
      <c r="S337" s="323"/>
    </row>
    <row r="338" spans="1:19" s="322" customFormat="1" ht="20.100000000000001" customHeight="1" x14ac:dyDescent="0.2">
      <c r="A338" s="321"/>
      <c r="B338" s="323"/>
      <c r="C338" s="323"/>
      <c r="D338" s="323"/>
      <c r="E338" s="323"/>
      <c r="F338" s="323"/>
      <c r="G338" s="323"/>
      <c r="H338" s="323"/>
      <c r="I338" s="323"/>
      <c r="J338" s="323"/>
      <c r="K338" s="323"/>
      <c r="L338" s="323"/>
      <c r="M338" s="323"/>
      <c r="N338" s="323"/>
      <c r="O338" s="323"/>
      <c r="P338" s="323"/>
      <c r="Q338" s="323"/>
      <c r="R338" s="323"/>
      <c r="S338" s="323"/>
    </row>
    <row r="339" spans="1:19" s="322" customFormat="1" ht="20.100000000000001" customHeight="1" x14ac:dyDescent="0.2">
      <c r="A339" s="321"/>
      <c r="B339" s="323"/>
      <c r="C339" s="323"/>
      <c r="D339" s="323"/>
      <c r="E339" s="323"/>
      <c r="F339" s="323"/>
      <c r="G339" s="323"/>
      <c r="H339" s="323"/>
      <c r="I339" s="323"/>
      <c r="J339" s="323"/>
      <c r="K339" s="323"/>
      <c r="L339" s="323"/>
      <c r="M339" s="323"/>
      <c r="N339" s="323"/>
      <c r="O339" s="323"/>
      <c r="P339" s="323"/>
      <c r="Q339" s="323"/>
      <c r="R339" s="323"/>
      <c r="S339" s="323"/>
    </row>
    <row r="340" spans="1:19" s="322" customFormat="1" ht="20.100000000000001" customHeight="1" x14ac:dyDescent="0.2">
      <c r="A340" s="321"/>
      <c r="B340" s="323"/>
      <c r="C340" s="323"/>
      <c r="D340" s="323"/>
      <c r="E340" s="323"/>
      <c r="F340" s="323"/>
      <c r="G340" s="323"/>
      <c r="H340" s="323"/>
      <c r="I340" s="323"/>
      <c r="J340" s="323"/>
      <c r="K340" s="323"/>
      <c r="L340" s="323"/>
      <c r="M340" s="323"/>
      <c r="N340" s="323"/>
      <c r="O340" s="323"/>
      <c r="P340" s="323"/>
      <c r="Q340" s="323"/>
      <c r="R340" s="323"/>
      <c r="S340" s="323"/>
    </row>
    <row r="341" spans="1:19" s="322" customFormat="1" ht="20.100000000000001" customHeight="1" x14ac:dyDescent="0.2">
      <c r="A341" s="321"/>
      <c r="B341" s="323"/>
      <c r="C341" s="323"/>
      <c r="D341" s="323"/>
      <c r="E341" s="323"/>
      <c r="F341" s="323"/>
      <c r="G341" s="323"/>
      <c r="H341" s="323"/>
      <c r="I341" s="323"/>
      <c r="J341" s="323"/>
      <c r="K341" s="323"/>
      <c r="L341" s="323"/>
      <c r="M341" s="323"/>
      <c r="N341" s="323"/>
      <c r="O341" s="323"/>
      <c r="P341" s="323"/>
      <c r="Q341" s="323"/>
      <c r="R341" s="323"/>
      <c r="S341" s="323"/>
    </row>
    <row r="342" spans="1:19" s="322" customFormat="1" ht="20.100000000000001" customHeight="1" x14ac:dyDescent="0.2">
      <c r="A342" s="321"/>
      <c r="B342" s="323"/>
      <c r="C342" s="323"/>
      <c r="D342" s="323"/>
      <c r="E342" s="323"/>
      <c r="F342" s="323"/>
      <c r="G342" s="323"/>
      <c r="H342" s="323"/>
      <c r="I342" s="323"/>
      <c r="J342" s="323"/>
      <c r="K342" s="323"/>
      <c r="L342" s="323"/>
      <c r="M342" s="323"/>
      <c r="N342" s="323"/>
      <c r="O342" s="323"/>
      <c r="P342" s="323"/>
      <c r="Q342" s="323"/>
      <c r="R342" s="323"/>
      <c r="S342" s="323"/>
    </row>
    <row r="343" spans="1:19" s="322" customFormat="1" ht="20.100000000000001" customHeight="1" x14ac:dyDescent="0.2">
      <c r="A343" s="321"/>
      <c r="B343" s="323"/>
      <c r="C343" s="323"/>
      <c r="D343" s="323"/>
      <c r="E343" s="323"/>
      <c r="F343" s="323"/>
      <c r="G343" s="323"/>
      <c r="H343" s="323"/>
      <c r="I343" s="323"/>
      <c r="J343" s="323"/>
      <c r="K343" s="323"/>
      <c r="L343" s="323"/>
      <c r="M343" s="323"/>
      <c r="N343" s="323"/>
      <c r="O343" s="323"/>
      <c r="P343" s="323"/>
      <c r="Q343" s="323"/>
      <c r="R343" s="323"/>
      <c r="S343" s="323"/>
    </row>
    <row r="344" spans="1:19" s="322" customFormat="1" ht="20.100000000000001" customHeight="1" x14ac:dyDescent="0.2">
      <c r="A344" s="321"/>
      <c r="B344" s="323"/>
      <c r="C344" s="323"/>
      <c r="D344" s="323"/>
      <c r="E344" s="323"/>
      <c r="F344" s="323"/>
      <c r="G344" s="323"/>
      <c r="H344" s="323"/>
      <c r="I344" s="323"/>
      <c r="J344" s="323"/>
      <c r="K344" s="323"/>
      <c r="L344" s="323"/>
      <c r="M344" s="323"/>
      <c r="N344" s="323"/>
      <c r="O344" s="323"/>
      <c r="P344" s="323"/>
      <c r="Q344" s="323"/>
      <c r="R344" s="323"/>
      <c r="S344" s="323"/>
    </row>
    <row r="345" spans="1:19" s="322" customFormat="1" ht="20.100000000000001" customHeight="1" x14ac:dyDescent="0.2">
      <c r="A345" s="321"/>
      <c r="B345" s="323"/>
      <c r="C345" s="323"/>
      <c r="D345" s="323"/>
      <c r="E345" s="323"/>
      <c r="F345" s="323"/>
      <c r="G345" s="323"/>
      <c r="H345" s="323"/>
      <c r="I345" s="323"/>
      <c r="J345" s="323"/>
      <c r="K345" s="323"/>
      <c r="L345" s="323"/>
      <c r="M345" s="323"/>
      <c r="N345" s="323"/>
      <c r="O345" s="323"/>
      <c r="P345" s="323"/>
      <c r="Q345" s="323"/>
      <c r="R345" s="323"/>
      <c r="S345" s="323"/>
    </row>
    <row r="346" spans="1:19" s="322" customFormat="1" ht="20.100000000000001" customHeight="1" x14ac:dyDescent="0.2">
      <c r="A346" s="321"/>
      <c r="B346" s="323"/>
      <c r="C346" s="323"/>
      <c r="D346" s="323"/>
      <c r="E346" s="323"/>
      <c r="F346" s="323"/>
      <c r="G346" s="323"/>
      <c r="H346" s="323"/>
      <c r="I346" s="323"/>
      <c r="J346" s="323"/>
      <c r="K346" s="323"/>
      <c r="L346" s="323"/>
      <c r="M346" s="323"/>
      <c r="N346" s="323"/>
      <c r="O346" s="323"/>
      <c r="P346" s="323"/>
      <c r="Q346" s="323"/>
      <c r="R346" s="323"/>
      <c r="S346" s="323"/>
    </row>
    <row r="347" spans="1:19" s="322" customFormat="1" ht="20.100000000000001" customHeight="1" x14ac:dyDescent="0.2">
      <c r="A347" s="321"/>
      <c r="B347" s="323"/>
      <c r="C347" s="323"/>
      <c r="D347" s="323"/>
      <c r="E347" s="323"/>
      <c r="F347" s="323"/>
      <c r="G347" s="323"/>
      <c r="H347" s="323"/>
      <c r="I347" s="323"/>
      <c r="J347" s="323"/>
      <c r="K347" s="323"/>
      <c r="L347" s="323"/>
      <c r="M347" s="323"/>
      <c r="N347" s="323"/>
      <c r="O347" s="323"/>
      <c r="P347" s="323"/>
      <c r="Q347" s="323"/>
      <c r="R347" s="323"/>
      <c r="S347" s="323"/>
    </row>
    <row r="348" spans="1:19" s="322" customFormat="1" ht="20.100000000000001" customHeight="1" x14ac:dyDescent="0.2">
      <c r="A348" s="321"/>
      <c r="B348" s="323"/>
      <c r="C348" s="323"/>
      <c r="D348" s="323"/>
      <c r="E348" s="323"/>
      <c r="F348" s="323"/>
      <c r="G348" s="323"/>
      <c r="H348" s="323"/>
      <c r="I348" s="323"/>
      <c r="J348" s="323"/>
      <c r="K348" s="323"/>
      <c r="L348" s="323"/>
      <c r="M348" s="323"/>
      <c r="N348" s="323"/>
      <c r="O348" s="323"/>
      <c r="P348" s="323"/>
      <c r="Q348" s="323"/>
      <c r="R348" s="323"/>
      <c r="S348" s="323"/>
    </row>
    <row r="349" spans="1:19" s="322" customFormat="1" ht="20.100000000000001" customHeight="1" x14ac:dyDescent="0.2">
      <c r="A349" s="321"/>
      <c r="B349" s="323"/>
      <c r="C349" s="323"/>
      <c r="D349" s="323"/>
      <c r="E349" s="323"/>
      <c r="F349" s="323"/>
      <c r="G349" s="323"/>
      <c r="H349" s="323"/>
      <c r="I349" s="323"/>
      <c r="J349" s="323"/>
      <c r="K349" s="323"/>
      <c r="L349" s="323"/>
      <c r="M349" s="323"/>
      <c r="N349" s="323"/>
      <c r="O349" s="323"/>
      <c r="P349" s="323"/>
      <c r="Q349" s="323"/>
      <c r="R349" s="323"/>
      <c r="S349" s="323"/>
    </row>
    <row r="350" spans="1:19" s="322" customFormat="1" ht="20.100000000000001" customHeight="1" x14ac:dyDescent="0.2">
      <c r="A350" s="321"/>
      <c r="B350" s="323"/>
      <c r="C350" s="323"/>
      <c r="D350" s="323"/>
      <c r="E350" s="323"/>
      <c r="F350" s="323"/>
      <c r="G350" s="323"/>
      <c r="H350" s="323"/>
      <c r="I350" s="323"/>
      <c r="J350" s="323"/>
      <c r="K350" s="323"/>
      <c r="L350" s="323"/>
      <c r="M350" s="323"/>
      <c r="N350" s="323"/>
      <c r="O350" s="323"/>
      <c r="P350" s="323"/>
      <c r="Q350" s="323"/>
      <c r="R350" s="323"/>
      <c r="S350" s="323"/>
    </row>
    <row r="351" spans="1:19" s="322" customFormat="1" ht="20.100000000000001" customHeight="1" x14ac:dyDescent="0.2">
      <c r="A351" s="321"/>
      <c r="B351" s="323"/>
      <c r="C351" s="323"/>
      <c r="D351" s="323"/>
      <c r="E351" s="323"/>
      <c r="F351" s="323"/>
      <c r="G351" s="323"/>
      <c r="H351" s="323"/>
      <c r="I351" s="323"/>
      <c r="J351" s="323"/>
      <c r="K351" s="323"/>
      <c r="L351" s="323"/>
      <c r="M351" s="323"/>
      <c r="N351" s="323"/>
      <c r="O351" s="323"/>
      <c r="P351" s="323"/>
      <c r="Q351" s="323"/>
      <c r="R351" s="323"/>
      <c r="S351" s="323"/>
    </row>
    <row r="352" spans="1:19" s="322" customFormat="1" ht="20.100000000000001" customHeight="1" x14ac:dyDescent="0.2">
      <c r="A352" s="321"/>
      <c r="B352" s="323"/>
      <c r="C352" s="323"/>
      <c r="D352" s="323"/>
      <c r="E352" s="323"/>
      <c r="F352" s="323"/>
      <c r="G352" s="323"/>
      <c r="H352" s="323"/>
      <c r="I352" s="323"/>
      <c r="J352" s="323"/>
      <c r="K352" s="323"/>
      <c r="L352" s="323"/>
      <c r="M352" s="323"/>
      <c r="N352" s="323"/>
      <c r="O352" s="323"/>
      <c r="P352" s="323"/>
      <c r="Q352" s="323"/>
      <c r="R352" s="323"/>
      <c r="S352" s="323"/>
    </row>
    <row r="353" spans="1:19" s="322" customFormat="1" ht="20.100000000000001" customHeight="1" x14ac:dyDescent="0.2">
      <c r="A353" s="321"/>
      <c r="B353" s="323"/>
      <c r="C353" s="323"/>
      <c r="D353" s="323"/>
      <c r="E353" s="323"/>
      <c r="F353" s="323"/>
      <c r="G353" s="323"/>
      <c r="H353" s="323"/>
      <c r="I353" s="323"/>
      <c r="J353" s="323"/>
      <c r="K353" s="323"/>
      <c r="L353" s="323"/>
      <c r="M353" s="323"/>
      <c r="N353" s="323"/>
      <c r="O353" s="323"/>
      <c r="P353" s="323"/>
      <c r="Q353" s="323"/>
      <c r="R353" s="323"/>
      <c r="S353" s="323"/>
    </row>
    <row r="354" spans="1:19" s="322" customFormat="1" ht="20.100000000000001" customHeight="1" x14ac:dyDescent="0.2">
      <c r="A354" s="321"/>
      <c r="B354" s="323"/>
      <c r="C354" s="323"/>
      <c r="D354" s="323"/>
      <c r="E354" s="323"/>
      <c r="F354" s="323"/>
      <c r="G354" s="323"/>
      <c r="H354" s="323"/>
      <c r="I354" s="323"/>
      <c r="J354" s="323"/>
      <c r="K354" s="323"/>
      <c r="L354" s="323"/>
      <c r="M354" s="323"/>
      <c r="N354" s="323"/>
      <c r="O354" s="323"/>
      <c r="P354" s="323"/>
      <c r="Q354" s="323"/>
      <c r="R354" s="323"/>
      <c r="S354" s="323"/>
    </row>
    <row r="355" spans="1:19" s="322" customFormat="1" ht="20.100000000000001" customHeight="1" x14ac:dyDescent="0.2">
      <c r="A355" s="321"/>
      <c r="B355" s="323"/>
      <c r="C355" s="323"/>
      <c r="D355" s="323"/>
      <c r="E355" s="323"/>
      <c r="F355" s="323"/>
      <c r="G355" s="323"/>
      <c r="H355" s="323"/>
      <c r="I355" s="323"/>
      <c r="J355" s="323"/>
      <c r="K355" s="323"/>
      <c r="L355" s="323"/>
      <c r="M355" s="323"/>
      <c r="N355" s="323"/>
      <c r="O355" s="323"/>
      <c r="P355" s="323"/>
      <c r="Q355" s="323"/>
      <c r="R355" s="323"/>
      <c r="S355" s="323"/>
    </row>
    <row r="356" spans="1:19" s="322" customFormat="1" ht="20.100000000000001" customHeight="1" x14ac:dyDescent="0.2">
      <c r="A356" s="321"/>
      <c r="B356" s="323"/>
      <c r="C356" s="323"/>
      <c r="D356" s="323"/>
      <c r="E356" s="323"/>
      <c r="F356" s="323"/>
      <c r="G356" s="323"/>
      <c r="H356" s="323"/>
      <c r="I356" s="323"/>
      <c r="J356" s="323"/>
      <c r="K356" s="323"/>
      <c r="L356" s="323"/>
      <c r="M356" s="323"/>
      <c r="N356" s="323"/>
      <c r="O356" s="323"/>
      <c r="P356" s="323"/>
      <c r="Q356" s="323"/>
      <c r="R356" s="323"/>
      <c r="S356" s="323"/>
    </row>
    <row r="357" spans="1:19" s="322" customFormat="1" ht="20.100000000000001" customHeight="1" x14ac:dyDescent="0.2">
      <c r="A357" s="321"/>
      <c r="B357" s="323"/>
      <c r="C357" s="323"/>
      <c r="D357" s="323"/>
      <c r="E357" s="323"/>
      <c r="F357" s="323"/>
      <c r="G357" s="323"/>
      <c r="H357" s="323"/>
      <c r="I357" s="323"/>
      <c r="J357" s="323"/>
      <c r="K357" s="323"/>
      <c r="L357" s="323"/>
      <c r="M357" s="323"/>
      <c r="N357" s="323"/>
      <c r="O357" s="323"/>
      <c r="P357" s="323"/>
      <c r="Q357" s="323"/>
      <c r="R357" s="323"/>
      <c r="S357" s="323"/>
    </row>
    <row r="358" spans="1:19" s="322" customFormat="1" ht="20.100000000000001" customHeight="1" x14ac:dyDescent="0.2">
      <c r="A358" s="321"/>
      <c r="B358" s="323"/>
      <c r="C358" s="323"/>
      <c r="D358" s="323"/>
      <c r="E358" s="323"/>
      <c r="F358" s="323"/>
      <c r="G358" s="323"/>
      <c r="H358" s="323"/>
      <c r="I358" s="323"/>
      <c r="J358" s="323"/>
      <c r="K358" s="323"/>
      <c r="L358" s="323"/>
      <c r="M358" s="323"/>
      <c r="N358" s="323"/>
      <c r="O358" s="323"/>
      <c r="P358" s="323"/>
      <c r="Q358" s="323"/>
      <c r="R358" s="323"/>
      <c r="S358" s="323"/>
    </row>
    <row r="359" spans="1:19" s="322" customFormat="1" ht="20.100000000000001" customHeight="1" x14ac:dyDescent="0.2">
      <c r="A359" s="321"/>
      <c r="B359" s="323"/>
      <c r="C359" s="323"/>
      <c r="D359" s="323"/>
      <c r="E359" s="323"/>
      <c r="F359" s="323"/>
      <c r="G359" s="323"/>
      <c r="H359" s="323"/>
      <c r="I359" s="323"/>
      <c r="J359" s="323"/>
      <c r="K359" s="323"/>
      <c r="L359" s="323"/>
      <c r="M359" s="323"/>
      <c r="N359" s="323"/>
      <c r="O359" s="323"/>
      <c r="P359" s="323"/>
      <c r="Q359" s="323"/>
      <c r="R359" s="323"/>
      <c r="S359" s="323"/>
    </row>
    <row r="360" spans="1:19" s="322" customFormat="1" ht="20.100000000000001" customHeight="1" x14ac:dyDescent="0.2">
      <c r="A360" s="321"/>
      <c r="B360" s="323"/>
      <c r="C360" s="323"/>
      <c r="D360" s="323"/>
      <c r="E360" s="323"/>
      <c r="F360" s="323"/>
      <c r="G360" s="323"/>
      <c r="H360" s="323"/>
      <c r="I360" s="323"/>
      <c r="J360" s="323"/>
      <c r="K360" s="323"/>
      <c r="L360" s="323"/>
      <c r="M360" s="323"/>
      <c r="N360" s="323"/>
      <c r="O360" s="323"/>
      <c r="P360" s="323"/>
      <c r="Q360" s="323"/>
      <c r="R360" s="323"/>
      <c r="S360" s="323"/>
    </row>
    <row r="361" spans="1:19" s="322" customFormat="1" ht="20.100000000000001" customHeight="1" x14ac:dyDescent="0.2">
      <c r="A361" s="321"/>
      <c r="B361" s="323"/>
      <c r="C361" s="323"/>
      <c r="D361" s="323"/>
      <c r="E361" s="323"/>
      <c r="F361" s="323"/>
      <c r="G361" s="323"/>
      <c r="H361" s="323"/>
      <c r="I361" s="323"/>
      <c r="J361" s="323"/>
      <c r="K361" s="323"/>
      <c r="L361" s="323"/>
      <c r="M361" s="323"/>
      <c r="N361" s="323"/>
      <c r="O361" s="323"/>
      <c r="P361" s="323"/>
      <c r="Q361" s="323"/>
      <c r="R361" s="323"/>
      <c r="S361" s="323"/>
    </row>
    <row r="362" spans="1:19" ht="20.100000000000001" customHeight="1" x14ac:dyDescent="0.2"/>
    <row r="363" spans="1:19" ht="9.9499999999999993" customHeight="1" x14ac:dyDescent="0.2"/>
    <row r="364" spans="1:19" ht="20.100000000000001" customHeight="1" x14ac:dyDescent="0.2"/>
    <row r="365" spans="1:19" ht="20.100000000000001" customHeight="1" x14ac:dyDescent="0.2"/>
    <row r="366" spans="1:19" ht="20.100000000000001" customHeight="1" x14ac:dyDescent="0.2"/>
    <row r="367" spans="1:19" s="322" customFormat="1" ht="20.100000000000001" customHeight="1" x14ac:dyDescent="0.2">
      <c r="A367" s="321"/>
      <c r="B367" s="323"/>
      <c r="C367" s="323"/>
      <c r="D367" s="323"/>
      <c r="E367" s="323"/>
      <c r="F367" s="323"/>
      <c r="G367" s="323"/>
      <c r="H367" s="323"/>
      <c r="I367" s="323"/>
      <c r="J367" s="323"/>
      <c r="K367" s="323"/>
      <c r="L367" s="323"/>
      <c r="M367" s="323"/>
      <c r="N367" s="323"/>
      <c r="O367" s="323"/>
      <c r="P367" s="323"/>
      <c r="Q367" s="323"/>
      <c r="R367" s="323"/>
      <c r="S367" s="323"/>
    </row>
    <row r="368" spans="1:19" s="322" customFormat="1" ht="20.100000000000001" customHeight="1" x14ac:dyDescent="0.2">
      <c r="A368" s="321"/>
      <c r="B368" s="323"/>
      <c r="C368" s="323"/>
      <c r="D368" s="323"/>
      <c r="E368" s="323"/>
      <c r="F368" s="323"/>
      <c r="G368" s="323"/>
      <c r="H368" s="323"/>
      <c r="I368" s="323"/>
      <c r="J368" s="323"/>
      <c r="K368" s="323"/>
      <c r="L368" s="323"/>
      <c r="M368" s="323"/>
      <c r="N368" s="323"/>
      <c r="O368" s="323"/>
      <c r="P368" s="323"/>
      <c r="Q368" s="323"/>
      <c r="R368" s="323"/>
      <c r="S368" s="323"/>
    </row>
    <row r="369" spans="1:19" s="322" customFormat="1" ht="20.100000000000001" customHeight="1" x14ac:dyDescent="0.2">
      <c r="A369" s="321"/>
      <c r="B369" s="323"/>
      <c r="C369" s="323"/>
      <c r="D369" s="323"/>
      <c r="E369" s="323"/>
      <c r="F369" s="323"/>
      <c r="G369" s="323"/>
      <c r="H369" s="323"/>
      <c r="I369" s="323"/>
      <c r="J369" s="323"/>
      <c r="K369" s="323"/>
      <c r="L369" s="323"/>
      <c r="M369" s="323"/>
      <c r="N369" s="323"/>
      <c r="O369" s="323"/>
      <c r="P369" s="323"/>
      <c r="Q369" s="323"/>
      <c r="R369" s="323"/>
      <c r="S369" s="323"/>
    </row>
    <row r="370" spans="1:19" s="322" customFormat="1" ht="20.100000000000001" customHeight="1" x14ac:dyDescent="0.2">
      <c r="A370" s="321"/>
      <c r="B370" s="323"/>
      <c r="C370" s="323"/>
      <c r="D370" s="323"/>
      <c r="E370" s="323"/>
      <c r="F370" s="323"/>
      <c r="G370" s="323"/>
      <c r="H370" s="323"/>
      <c r="I370" s="323"/>
      <c r="J370" s="323"/>
      <c r="K370" s="323"/>
      <c r="L370" s="323"/>
      <c r="M370" s="323"/>
      <c r="N370" s="323"/>
      <c r="O370" s="323"/>
      <c r="P370" s="323"/>
      <c r="Q370" s="323"/>
      <c r="R370" s="323"/>
      <c r="S370" s="323"/>
    </row>
    <row r="371" spans="1:19" s="322" customFormat="1" ht="20.100000000000001" customHeight="1" x14ac:dyDescent="0.2">
      <c r="A371" s="321"/>
      <c r="B371" s="323"/>
      <c r="C371" s="323"/>
      <c r="D371" s="323"/>
      <c r="E371" s="323"/>
      <c r="F371" s="323"/>
      <c r="G371" s="323"/>
      <c r="H371" s="323"/>
      <c r="I371" s="323"/>
      <c r="J371" s="323"/>
      <c r="K371" s="323"/>
      <c r="L371" s="323"/>
      <c r="M371" s="323"/>
      <c r="N371" s="323"/>
      <c r="O371" s="323"/>
      <c r="P371" s="323"/>
      <c r="Q371" s="323"/>
      <c r="R371" s="323"/>
      <c r="S371" s="323"/>
    </row>
    <row r="372" spans="1:19" s="322" customFormat="1" ht="20.100000000000001" customHeight="1" x14ac:dyDescent="0.2">
      <c r="A372" s="321"/>
      <c r="B372" s="323"/>
      <c r="C372" s="323"/>
      <c r="D372" s="323"/>
      <c r="E372" s="323"/>
      <c r="F372" s="323"/>
      <c r="G372" s="323"/>
      <c r="H372" s="323"/>
      <c r="I372" s="323"/>
      <c r="J372" s="323"/>
      <c r="K372" s="323"/>
      <c r="L372" s="323"/>
      <c r="M372" s="323"/>
      <c r="N372" s="323"/>
      <c r="O372" s="323"/>
      <c r="P372" s="323"/>
      <c r="Q372" s="323"/>
      <c r="R372" s="323"/>
      <c r="S372" s="323"/>
    </row>
    <row r="373" spans="1:19" s="322" customFormat="1" ht="20.100000000000001" customHeight="1" x14ac:dyDescent="0.2">
      <c r="A373" s="321"/>
      <c r="B373" s="323"/>
      <c r="C373" s="323"/>
      <c r="D373" s="323"/>
      <c r="E373" s="323"/>
      <c r="F373" s="323"/>
      <c r="G373" s="323"/>
      <c r="H373" s="323"/>
      <c r="I373" s="323"/>
      <c r="J373" s="323"/>
      <c r="K373" s="323"/>
      <c r="L373" s="323"/>
      <c r="M373" s="323"/>
      <c r="N373" s="323"/>
      <c r="O373" s="323"/>
      <c r="P373" s="323"/>
      <c r="Q373" s="323"/>
      <c r="R373" s="323"/>
      <c r="S373" s="323"/>
    </row>
    <row r="374" spans="1:19" s="322" customFormat="1" ht="20.100000000000001" customHeight="1" x14ac:dyDescent="0.2">
      <c r="A374" s="321"/>
      <c r="B374" s="323"/>
      <c r="C374" s="323"/>
      <c r="D374" s="323"/>
      <c r="E374" s="323"/>
      <c r="F374" s="323"/>
      <c r="G374" s="323"/>
      <c r="H374" s="323"/>
      <c r="I374" s="323"/>
      <c r="J374" s="323"/>
      <c r="K374" s="323"/>
      <c r="L374" s="323"/>
      <c r="M374" s="323"/>
      <c r="N374" s="323"/>
      <c r="O374" s="323"/>
      <c r="P374" s="323"/>
      <c r="Q374" s="323"/>
      <c r="R374" s="323"/>
      <c r="S374" s="323"/>
    </row>
    <row r="375" spans="1:19" s="322" customFormat="1" ht="20.100000000000001" customHeight="1" x14ac:dyDescent="0.2">
      <c r="A375" s="321"/>
      <c r="B375" s="323"/>
      <c r="C375" s="323"/>
      <c r="D375" s="323"/>
      <c r="E375" s="323"/>
      <c r="F375" s="323"/>
      <c r="G375" s="323"/>
      <c r="H375" s="323"/>
      <c r="I375" s="323"/>
      <c r="J375" s="323"/>
      <c r="K375" s="323"/>
      <c r="L375" s="323"/>
      <c r="M375" s="323"/>
      <c r="N375" s="323"/>
      <c r="O375" s="323"/>
      <c r="P375" s="323"/>
      <c r="Q375" s="323"/>
      <c r="R375" s="323"/>
      <c r="S375" s="323"/>
    </row>
    <row r="376" spans="1:19" s="322" customFormat="1" ht="20.100000000000001" customHeight="1" x14ac:dyDescent="0.2">
      <c r="A376" s="321"/>
      <c r="B376" s="323"/>
      <c r="C376" s="323"/>
      <c r="D376" s="323"/>
      <c r="E376" s="323"/>
      <c r="F376" s="323"/>
      <c r="G376" s="323"/>
      <c r="H376" s="323"/>
      <c r="I376" s="323"/>
      <c r="J376" s="323"/>
      <c r="K376" s="323"/>
      <c r="L376" s="323"/>
      <c r="M376" s="323"/>
      <c r="N376" s="323"/>
      <c r="O376" s="323"/>
      <c r="P376" s="323"/>
      <c r="Q376" s="323"/>
      <c r="R376" s="323"/>
      <c r="S376" s="323"/>
    </row>
    <row r="377" spans="1:19" s="322" customFormat="1" ht="20.100000000000001" customHeight="1" x14ac:dyDescent="0.2">
      <c r="A377" s="321"/>
      <c r="B377" s="323"/>
      <c r="C377" s="323"/>
      <c r="D377" s="323"/>
      <c r="E377" s="323"/>
      <c r="F377" s="323"/>
      <c r="G377" s="323"/>
      <c r="H377" s="323"/>
      <c r="I377" s="323"/>
      <c r="J377" s="323"/>
      <c r="K377" s="323"/>
      <c r="L377" s="323"/>
      <c r="M377" s="323"/>
      <c r="N377" s="323"/>
      <c r="O377" s="323"/>
      <c r="P377" s="323"/>
      <c r="Q377" s="323"/>
      <c r="R377" s="323"/>
      <c r="S377" s="323"/>
    </row>
    <row r="378" spans="1:19" s="322" customFormat="1" ht="20.100000000000001" customHeight="1" x14ac:dyDescent="0.2">
      <c r="A378" s="321"/>
      <c r="B378" s="323"/>
      <c r="C378" s="323"/>
      <c r="D378" s="323"/>
      <c r="E378" s="323"/>
      <c r="F378" s="323"/>
      <c r="G378" s="323"/>
      <c r="H378" s="323"/>
      <c r="I378" s="323"/>
      <c r="J378" s="323"/>
      <c r="K378" s="323"/>
      <c r="L378" s="323"/>
      <c r="M378" s="323"/>
      <c r="N378" s="323"/>
      <c r="O378" s="323"/>
      <c r="P378" s="323"/>
      <c r="Q378" s="323"/>
      <c r="R378" s="323"/>
      <c r="S378" s="323"/>
    </row>
    <row r="379" spans="1:19" s="322" customFormat="1" ht="20.100000000000001" customHeight="1" x14ac:dyDescent="0.2">
      <c r="A379" s="321"/>
      <c r="B379" s="323"/>
      <c r="C379" s="323"/>
      <c r="D379" s="323"/>
      <c r="E379" s="323"/>
      <c r="F379" s="323"/>
      <c r="G379" s="323"/>
      <c r="H379" s="323"/>
      <c r="I379" s="323"/>
      <c r="J379" s="323"/>
      <c r="K379" s="323"/>
      <c r="L379" s="323"/>
      <c r="M379" s="323"/>
      <c r="N379" s="323"/>
      <c r="O379" s="323"/>
      <c r="P379" s="323"/>
      <c r="Q379" s="323"/>
      <c r="R379" s="323"/>
      <c r="S379" s="323"/>
    </row>
    <row r="380" spans="1:19" s="322" customFormat="1" ht="20.100000000000001" customHeight="1" x14ac:dyDescent="0.2">
      <c r="A380" s="321"/>
      <c r="B380" s="323"/>
      <c r="C380" s="323"/>
      <c r="D380" s="323"/>
      <c r="E380" s="323"/>
      <c r="F380" s="323"/>
      <c r="G380" s="323"/>
      <c r="H380" s="323"/>
      <c r="I380" s="323"/>
      <c r="J380" s="323"/>
      <c r="K380" s="323"/>
      <c r="L380" s="323"/>
      <c r="M380" s="323"/>
      <c r="N380" s="323"/>
      <c r="O380" s="323"/>
      <c r="P380" s="323"/>
      <c r="Q380" s="323"/>
      <c r="R380" s="323"/>
      <c r="S380" s="323"/>
    </row>
    <row r="381" spans="1:19" s="322" customFormat="1" ht="20.100000000000001" customHeight="1" x14ac:dyDescent="0.2">
      <c r="A381" s="321"/>
      <c r="B381" s="323"/>
      <c r="C381" s="323"/>
      <c r="D381" s="323"/>
      <c r="E381" s="323"/>
      <c r="F381" s="323"/>
      <c r="G381" s="323"/>
      <c r="H381" s="323"/>
      <c r="I381" s="323"/>
      <c r="J381" s="323"/>
      <c r="K381" s="323"/>
      <c r="L381" s="323"/>
      <c r="M381" s="323"/>
      <c r="N381" s="323"/>
      <c r="O381" s="323"/>
      <c r="P381" s="323"/>
      <c r="Q381" s="323"/>
      <c r="R381" s="323"/>
      <c r="S381" s="323"/>
    </row>
    <row r="382" spans="1:19" s="322" customFormat="1" ht="20.100000000000001" customHeight="1" x14ac:dyDescent="0.2">
      <c r="A382" s="321"/>
      <c r="B382" s="323"/>
      <c r="C382" s="323"/>
      <c r="D382" s="323"/>
      <c r="E382" s="323"/>
      <c r="F382" s="323"/>
      <c r="G382" s="323"/>
      <c r="H382" s="323"/>
      <c r="I382" s="323"/>
      <c r="J382" s="323"/>
      <c r="K382" s="323"/>
      <c r="L382" s="323"/>
      <c r="M382" s="323"/>
      <c r="N382" s="323"/>
      <c r="O382" s="323"/>
      <c r="P382" s="323"/>
      <c r="Q382" s="323"/>
      <c r="R382" s="323"/>
      <c r="S382" s="323"/>
    </row>
    <row r="383" spans="1:19" s="322" customFormat="1" ht="20.100000000000001" customHeight="1" x14ac:dyDescent="0.2">
      <c r="A383" s="321"/>
      <c r="B383" s="323"/>
      <c r="C383" s="323"/>
      <c r="D383" s="323"/>
      <c r="E383" s="323"/>
      <c r="F383" s="323"/>
      <c r="G383" s="323"/>
      <c r="H383" s="323"/>
      <c r="I383" s="323"/>
      <c r="J383" s="323"/>
      <c r="K383" s="323"/>
      <c r="L383" s="323"/>
      <c r="M383" s="323"/>
      <c r="N383" s="323"/>
      <c r="O383" s="323"/>
      <c r="P383" s="323"/>
      <c r="Q383" s="323"/>
      <c r="R383" s="323"/>
      <c r="S383" s="323"/>
    </row>
    <row r="384" spans="1:19" s="322" customFormat="1" ht="20.100000000000001" customHeight="1" x14ac:dyDescent="0.2">
      <c r="A384" s="321"/>
      <c r="B384" s="323"/>
      <c r="C384" s="323"/>
      <c r="D384" s="323"/>
      <c r="E384" s="323"/>
      <c r="F384" s="323"/>
      <c r="G384" s="323"/>
      <c r="H384" s="323"/>
      <c r="I384" s="323"/>
      <c r="J384" s="323"/>
      <c r="K384" s="323"/>
      <c r="L384" s="323"/>
      <c r="M384" s="323"/>
      <c r="N384" s="323"/>
      <c r="O384" s="323"/>
      <c r="P384" s="323"/>
      <c r="Q384" s="323"/>
      <c r="R384" s="323"/>
      <c r="S384" s="323"/>
    </row>
    <row r="385" spans="1:19" s="322" customFormat="1" ht="20.100000000000001" customHeight="1" x14ac:dyDescent="0.2">
      <c r="A385" s="321"/>
      <c r="B385" s="323"/>
      <c r="C385" s="323"/>
      <c r="D385" s="323"/>
      <c r="E385" s="323"/>
      <c r="F385" s="323"/>
      <c r="G385" s="323"/>
      <c r="H385" s="323"/>
      <c r="I385" s="323"/>
      <c r="J385" s="323"/>
      <c r="K385" s="323"/>
      <c r="L385" s="323"/>
      <c r="M385" s="323"/>
      <c r="N385" s="323"/>
      <c r="O385" s="323"/>
      <c r="P385" s="323"/>
      <c r="Q385" s="323"/>
      <c r="R385" s="323"/>
      <c r="S385" s="323"/>
    </row>
    <row r="386" spans="1:19" s="322" customFormat="1" ht="20.100000000000001" customHeight="1" x14ac:dyDescent="0.2">
      <c r="A386" s="321"/>
      <c r="B386" s="323"/>
      <c r="C386" s="323"/>
      <c r="D386" s="323"/>
      <c r="E386" s="323"/>
      <c r="F386" s="323"/>
      <c r="G386" s="323"/>
      <c r="H386" s="323"/>
      <c r="I386" s="323"/>
      <c r="J386" s="323"/>
      <c r="K386" s="323"/>
      <c r="L386" s="323"/>
      <c r="M386" s="323"/>
      <c r="N386" s="323"/>
      <c r="O386" s="323"/>
      <c r="P386" s="323"/>
      <c r="Q386" s="323"/>
      <c r="R386" s="323"/>
      <c r="S386" s="323"/>
    </row>
    <row r="387" spans="1:19" s="322" customFormat="1" ht="20.100000000000001" customHeight="1" x14ac:dyDescent="0.2">
      <c r="A387" s="321"/>
      <c r="B387" s="323"/>
      <c r="C387" s="323"/>
      <c r="D387" s="323"/>
      <c r="E387" s="323"/>
      <c r="F387" s="323"/>
      <c r="G387" s="323"/>
      <c r="H387" s="323"/>
      <c r="I387" s="323"/>
      <c r="J387" s="323"/>
      <c r="K387" s="323"/>
      <c r="L387" s="323"/>
      <c r="M387" s="323"/>
      <c r="N387" s="323"/>
      <c r="O387" s="323"/>
      <c r="P387" s="323"/>
      <c r="Q387" s="323"/>
      <c r="R387" s="323"/>
      <c r="S387" s="323"/>
    </row>
    <row r="388" spans="1:19" s="322" customFormat="1" ht="20.100000000000001" customHeight="1" x14ac:dyDescent="0.2">
      <c r="A388" s="321"/>
      <c r="B388" s="323"/>
      <c r="C388" s="323"/>
      <c r="D388" s="323"/>
      <c r="E388" s="323"/>
      <c r="F388" s="323"/>
      <c r="G388" s="323"/>
      <c r="H388" s="323"/>
      <c r="I388" s="323"/>
      <c r="J388" s="323"/>
      <c r="K388" s="323"/>
      <c r="L388" s="323"/>
      <c r="M388" s="323"/>
      <c r="N388" s="323"/>
      <c r="O388" s="323"/>
      <c r="P388" s="323"/>
      <c r="Q388" s="323"/>
      <c r="R388" s="323"/>
      <c r="S388" s="323"/>
    </row>
    <row r="389" spans="1:19" s="322" customFormat="1" ht="20.100000000000001" customHeight="1" x14ac:dyDescent="0.2">
      <c r="A389" s="321"/>
      <c r="B389" s="323"/>
      <c r="C389" s="323"/>
      <c r="D389" s="323"/>
      <c r="E389" s="323"/>
      <c r="F389" s="323"/>
      <c r="G389" s="323"/>
      <c r="H389" s="323"/>
      <c r="I389" s="323"/>
      <c r="J389" s="323"/>
      <c r="K389" s="323"/>
      <c r="L389" s="323"/>
      <c r="M389" s="323"/>
      <c r="N389" s="323"/>
      <c r="O389" s="323"/>
      <c r="P389" s="323"/>
      <c r="Q389" s="323"/>
      <c r="R389" s="323"/>
      <c r="S389" s="323"/>
    </row>
    <row r="390" spans="1:19" s="322" customFormat="1" ht="20.100000000000001" customHeight="1" x14ac:dyDescent="0.2">
      <c r="A390" s="321"/>
      <c r="B390" s="323"/>
      <c r="C390" s="323"/>
      <c r="D390" s="323"/>
      <c r="E390" s="323"/>
      <c r="F390" s="323"/>
      <c r="G390" s="323"/>
      <c r="H390" s="323"/>
      <c r="I390" s="323"/>
      <c r="J390" s="323"/>
      <c r="K390" s="323"/>
      <c r="L390" s="323"/>
      <c r="M390" s="323"/>
      <c r="N390" s="323"/>
      <c r="O390" s="323"/>
      <c r="P390" s="323"/>
      <c r="Q390" s="323"/>
      <c r="R390" s="323"/>
      <c r="S390" s="323"/>
    </row>
    <row r="391" spans="1:19" s="322" customFormat="1" ht="20.100000000000001" customHeight="1" x14ac:dyDescent="0.2">
      <c r="A391" s="321"/>
      <c r="B391" s="323"/>
      <c r="C391" s="323"/>
      <c r="D391" s="323"/>
      <c r="E391" s="323"/>
      <c r="F391" s="323"/>
      <c r="G391" s="323"/>
      <c r="H391" s="323"/>
      <c r="I391" s="323"/>
      <c r="J391" s="323"/>
      <c r="K391" s="323"/>
      <c r="L391" s="323"/>
      <c r="M391" s="323"/>
      <c r="N391" s="323"/>
      <c r="O391" s="323"/>
      <c r="P391" s="323"/>
      <c r="Q391" s="323"/>
      <c r="R391" s="323"/>
      <c r="S391" s="323"/>
    </row>
    <row r="392" spans="1:19" s="322" customFormat="1" ht="20.100000000000001" customHeight="1" x14ac:dyDescent="0.2">
      <c r="A392" s="321"/>
      <c r="B392" s="323"/>
      <c r="C392" s="323"/>
      <c r="D392" s="323"/>
      <c r="E392" s="323"/>
      <c r="F392" s="323"/>
      <c r="G392" s="323"/>
      <c r="H392" s="323"/>
      <c r="I392" s="323"/>
      <c r="J392" s="323"/>
      <c r="K392" s="323"/>
      <c r="L392" s="323"/>
      <c r="M392" s="323"/>
      <c r="N392" s="323"/>
      <c r="O392" s="323"/>
      <c r="P392" s="323"/>
      <c r="Q392" s="323"/>
      <c r="R392" s="323"/>
      <c r="S392" s="323"/>
    </row>
    <row r="393" spans="1:19" s="322" customFormat="1" ht="20.100000000000001" customHeight="1" x14ac:dyDescent="0.2">
      <c r="A393" s="321"/>
      <c r="B393" s="323"/>
      <c r="C393" s="323"/>
      <c r="D393" s="323"/>
      <c r="E393" s="323"/>
      <c r="F393" s="323"/>
      <c r="G393" s="323"/>
      <c r="H393" s="323"/>
      <c r="I393" s="323"/>
      <c r="J393" s="323"/>
      <c r="K393" s="323"/>
      <c r="L393" s="323"/>
      <c r="M393" s="323"/>
      <c r="N393" s="323"/>
      <c r="O393" s="323"/>
      <c r="P393" s="323"/>
      <c r="Q393" s="323"/>
      <c r="R393" s="323"/>
      <c r="S393" s="323"/>
    </row>
    <row r="394" spans="1:19" s="322" customFormat="1" ht="20.100000000000001" customHeight="1" x14ac:dyDescent="0.2">
      <c r="A394" s="321"/>
      <c r="B394" s="323"/>
      <c r="C394" s="323"/>
      <c r="D394" s="323"/>
      <c r="E394" s="323"/>
      <c r="F394" s="323"/>
      <c r="G394" s="323"/>
      <c r="H394" s="323"/>
      <c r="I394" s="323"/>
      <c r="J394" s="323"/>
      <c r="K394" s="323"/>
      <c r="L394" s="323"/>
      <c r="M394" s="323"/>
      <c r="N394" s="323"/>
      <c r="O394" s="323"/>
      <c r="P394" s="323"/>
      <c r="Q394" s="323"/>
      <c r="R394" s="323"/>
      <c r="S394" s="323"/>
    </row>
    <row r="395" spans="1:19" s="322" customFormat="1" ht="20.100000000000001" customHeight="1" x14ac:dyDescent="0.2">
      <c r="A395" s="321"/>
      <c r="B395" s="323"/>
      <c r="C395" s="323"/>
      <c r="D395" s="323"/>
      <c r="E395" s="323"/>
      <c r="F395" s="323"/>
      <c r="G395" s="323"/>
      <c r="H395" s="323"/>
      <c r="I395" s="323"/>
      <c r="J395" s="323"/>
      <c r="K395" s="323"/>
      <c r="L395" s="323"/>
      <c r="M395" s="323"/>
      <c r="N395" s="323"/>
      <c r="O395" s="323"/>
      <c r="P395" s="323"/>
      <c r="Q395" s="323"/>
      <c r="R395" s="323"/>
      <c r="S395" s="323"/>
    </row>
    <row r="396" spans="1:19" s="322" customFormat="1" ht="20.100000000000001" customHeight="1" x14ac:dyDescent="0.2">
      <c r="A396" s="321"/>
      <c r="B396" s="323"/>
      <c r="C396" s="323"/>
      <c r="D396" s="323"/>
      <c r="E396" s="323"/>
      <c r="F396" s="323"/>
      <c r="G396" s="323"/>
      <c r="H396" s="323"/>
      <c r="I396" s="323"/>
      <c r="J396" s="323"/>
      <c r="K396" s="323"/>
      <c r="L396" s="323"/>
      <c r="M396" s="323"/>
      <c r="N396" s="323"/>
      <c r="O396" s="323"/>
      <c r="P396" s="323"/>
      <c r="Q396" s="323"/>
      <c r="R396" s="323"/>
      <c r="S396" s="323"/>
    </row>
    <row r="397" spans="1:19" s="322" customFormat="1" ht="20.100000000000001" customHeight="1" x14ac:dyDescent="0.2">
      <c r="A397" s="321"/>
      <c r="B397" s="323"/>
      <c r="C397" s="323"/>
      <c r="D397" s="323"/>
      <c r="E397" s="323"/>
      <c r="F397" s="323"/>
      <c r="G397" s="323"/>
      <c r="H397" s="323"/>
      <c r="I397" s="323"/>
      <c r="J397" s="323"/>
      <c r="K397" s="323"/>
      <c r="L397" s="323"/>
      <c r="M397" s="323"/>
      <c r="N397" s="323"/>
      <c r="O397" s="323"/>
      <c r="P397" s="323"/>
      <c r="Q397" s="323"/>
      <c r="R397" s="323"/>
      <c r="S397" s="323"/>
    </row>
    <row r="398" spans="1:19" s="322" customFormat="1" ht="20.100000000000001" customHeight="1" x14ac:dyDescent="0.2">
      <c r="A398" s="321"/>
      <c r="B398" s="323"/>
      <c r="C398" s="323"/>
      <c r="D398" s="323"/>
      <c r="E398" s="323"/>
      <c r="F398" s="323"/>
      <c r="G398" s="323"/>
      <c r="H398" s="323"/>
      <c r="I398" s="323"/>
      <c r="J398" s="323"/>
      <c r="K398" s="323"/>
      <c r="L398" s="323"/>
      <c r="M398" s="323"/>
      <c r="N398" s="323"/>
      <c r="O398" s="323"/>
      <c r="P398" s="323"/>
      <c r="Q398" s="323"/>
      <c r="R398" s="323"/>
      <c r="S398" s="323"/>
    </row>
    <row r="399" spans="1:19" s="322" customFormat="1" ht="20.100000000000001" customHeight="1" x14ac:dyDescent="0.2">
      <c r="A399" s="321"/>
      <c r="B399" s="323"/>
      <c r="C399" s="323"/>
      <c r="D399" s="323"/>
      <c r="E399" s="323"/>
      <c r="F399" s="323"/>
      <c r="G399" s="323"/>
      <c r="H399" s="323"/>
      <c r="I399" s="323"/>
      <c r="J399" s="323"/>
      <c r="K399" s="323"/>
      <c r="L399" s="323"/>
      <c r="M399" s="323"/>
      <c r="N399" s="323"/>
      <c r="O399" s="323"/>
      <c r="P399" s="323"/>
      <c r="Q399" s="323"/>
      <c r="R399" s="323"/>
      <c r="S399" s="323"/>
    </row>
    <row r="400" spans="1:19" s="322" customFormat="1" ht="20.100000000000001" customHeight="1" x14ac:dyDescent="0.2">
      <c r="A400" s="321"/>
      <c r="B400" s="323"/>
      <c r="C400" s="323"/>
      <c r="D400" s="323"/>
      <c r="E400" s="323"/>
      <c r="F400" s="323"/>
      <c r="G400" s="323"/>
      <c r="H400" s="323"/>
      <c r="I400" s="323"/>
      <c r="J400" s="323"/>
      <c r="K400" s="323"/>
      <c r="L400" s="323"/>
      <c r="M400" s="323"/>
      <c r="N400" s="323"/>
      <c r="O400" s="323"/>
      <c r="P400" s="323"/>
      <c r="Q400" s="323"/>
      <c r="R400" s="323"/>
      <c r="S400" s="323"/>
    </row>
    <row r="401" spans="1:19" s="322" customFormat="1" ht="20.100000000000001" customHeight="1" x14ac:dyDescent="0.2">
      <c r="A401" s="321"/>
      <c r="B401" s="323"/>
      <c r="C401" s="323"/>
      <c r="D401" s="323"/>
      <c r="E401" s="323"/>
      <c r="F401" s="323"/>
      <c r="G401" s="323"/>
      <c r="H401" s="323"/>
      <c r="I401" s="323"/>
      <c r="J401" s="323"/>
      <c r="K401" s="323"/>
      <c r="L401" s="323"/>
      <c r="M401" s="323"/>
      <c r="N401" s="323"/>
      <c r="O401" s="323"/>
      <c r="P401" s="323"/>
      <c r="Q401" s="323"/>
      <c r="R401" s="323"/>
      <c r="S401" s="323"/>
    </row>
    <row r="402" spans="1:19" s="322" customFormat="1" ht="20.100000000000001" customHeight="1" x14ac:dyDescent="0.2">
      <c r="A402" s="321"/>
      <c r="B402" s="323"/>
      <c r="C402" s="323"/>
      <c r="D402" s="323"/>
      <c r="E402" s="323"/>
      <c r="F402" s="323"/>
      <c r="G402" s="323"/>
      <c r="H402" s="323"/>
      <c r="I402" s="323"/>
      <c r="J402" s="323"/>
      <c r="K402" s="323"/>
      <c r="L402" s="323"/>
      <c r="M402" s="323"/>
      <c r="N402" s="323"/>
      <c r="O402" s="323"/>
      <c r="P402" s="323"/>
      <c r="Q402" s="323"/>
      <c r="R402" s="323"/>
      <c r="S402" s="323"/>
    </row>
    <row r="403" spans="1:19" s="322" customFormat="1" ht="20.100000000000001" customHeight="1" x14ac:dyDescent="0.2">
      <c r="A403" s="321"/>
      <c r="B403" s="323"/>
      <c r="C403" s="323"/>
      <c r="D403" s="323"/>
      <c r="E403" s="323"/>
      <c r="F403" s="323"/>
      <c r="G403" s="323"/>
      <c r="H403" s="323"/>
      <c r="I403" s="323"/>
      <c r="J403" s="323"/>
      <c r="K403" s="323"/>
      <c r="L403" s="323"/>
      <c r="M403" s="323"/>
      <c r="N403" s="323"/>
      <c r="O403" s="323"/>
      <c r="P403" s="323"/>
      <c r="Q403" s="323"/>
      <c r="R403" s="323"/>
      <c r="S403" s="323"/>
    </row>
    <row r="404" spans="1:19" ht="20.100000000000001" customHeight="1" x14ac:dyDescent="0.2"/>
    <row r="405" spans="1:19" ht="9.9499999999999993" customHeight="1" x14ac:dyDescent="0.2"/>
    <row r="406" spans="1:19" ht="20.100000000000001" customHeight="1" x14ac:dyDescent="0.2"/>
    <row r="407" spans="1:19" ht="20.100000000000001" customHeight="1" x14ac:dyDescent="0.2"/>
    <row r="408" spans="1:19" ht="20.100000000000001" customHeight="1" x14ac:dyDescent="0.2"/>
    <row r="409" spans="1:19" s="322" customFormat="1" ht="20.100000000000001" customHeight="1" x14ac:dyDescent="0.2">
      <c r="A409" s="321"/>
      <c r="B409" s="323"/>
      <c r="C409" s="323"/>
      <c r="D409" s="323"/>
      <c r="E409" s="323"/>
      <c r="F409" s="323"/>
      <c r="G409" s="323"/>
      <c r="H409" s="323"/>
      <c r="I409" s="323"/>
      <c r="J409" s="323"/>
      <c r="K409" s="323"/>
      <c r="L409" s="323"/>
      <c r="M409" s="323"/>
      <c r="N409" s="323"/>
      <c r="O409" s="323"/>
      <c r="P409" s="323"/>
      <c r="Q409" s="323"/>
      <c r="R409" s="323"/>
      <c r="S409" s="323"/>
    </row>
    <row r="410" spans="1:19" s="322" customFormat="1" ht="20.100000000000001" customHeight="1" x14ac:dyDescent="0.2">
      <c r="A410" s="321"/>
      <c r="B410" s="323"/>
      <c r="C410" s="323"/>
      <c r="D410" s="323"/>
      <c r="E410" s="323"/>
      <c r="F410" s="323"/>
      <c r="G410" s="323"/>
      <c r="H410" s="323"/>
      <c r="I410" s="323"/>
      <c r="J410" s="323"/>
      <c r="K410" s="323"/>
      <c r="L410" s="323"/>
      <c r="M410" s="323"/>
      <c r="N410" s="323"/>
      <c r="O410" s="323"/>
      <c r="P410" s="323"/>
      <c r="Q410" s="323"/>
      <c r="R410" s="323"/>
      <c r="S410" s="323"/>
    </row>
    <row r="411" spans="1:19" s="322" customFormat="1" ht="20.100000000000001" customHeight="1" x14ac:dyDescent="0.2">
      <c r="A411" s="321"/>
      <c r="B411" s="323"/>
      <c r="C411" s="323"/>
      <c r="D411" s="323"/>
      <c r="E411" s="323"/>
      <c r="F411" s="323"/>
      <c r="G411" s="323"/>
      <c r="H411" s="323"/>
      <c r="I411" s="323"/>
      <c r="J411" s="323"/>
      <c r="K411" s="323"/>
      <c r="L411" s="323"/>
      <c r="M411" s="323"/>
      <c r="N411" s="323"/>
      <c r="O411" s="323"/>
      <c r="P411" s="323"/>
      <c r="Q411" s="323"/>
      <c r="R411" s="323"/>
      <c r="S411" s="323"/>
    </row>
    <row r="412" spans="1:19" s="322" customFormat="1" ht="20.100000000000001" customHeight="1" x14ac:dyDescent="0.2">
      <c r="A412" s="321"/>
      <c r="B412" s="323"/>
      <c r="C412" s="323"/>
      <c r="D412" s="323"/>
      <c r="E412" s="323"/>
      <c r="F412" s="323"/>
      <c r="G412" s="323"/>
      <c r="H412" s="323"/>
      <c r="I412" s="323"/>
      <c r="J412" s="323"/>
      <c r="K412" s="323"/>
      <c r="L412" s="323"/>
      <c r="M412" s="323"/>
      <c r="N412" s="323"/>
      <c r="O412" s="323"/>
      <c r="P412" s="323"/>
      <c r="Q412" s="323"/>
      <c r="R412" s="323"/>
      <c r="S412" s="323"/>
    </row>
    <row r="413" spans="1:19" s="322" customFormat="1" ht="20.100000000000001" customHeight="1" x14ac:dyDescent="0.2">
      <c r="A413" s="321"/>
      <c r="B413" s="323"/>
      <c r="C413" s="323"/>
      <c r="D413" s="323"/>
      <c r="E413" s="323"/>
      <c r="F413" s="323"/>
      <c r="G413" s="323"/>
      <c r="H413" s="323"/>
      <c r="I413" s="323"/>
      <c r="J413" s="323"/>
      <c r="K413" s="323"/>
      <c r="L413" s="323"/>
      <c r="M413" s="323"/>
      <c r="N413" s="323"/>
      <c r="O413" s="323"/>
      <c r="P413" s="323"/>
      <c r="Q413" s="323"/>
      <c r="R413" s="323"/>
      <c r="S413" s="323"/>
    </row>
    <row r="414" spans="1:19" s="322" customFormat="1" ht="20.100000000000001" customHeight="1" x14ac:dyDescent="0.2">
      <c r="A414" s="321"/>
      <c r="B414" s="323"/>
      <c r="C414" s="323"/>
      <c r="D414" s="323"/>
      <c r="E414" s="323"/>
      <c r="F414" s="323"/>
      <c r="G414" s="323"/>
      <c r="H414" s="323"/>
      <c r="I414" s="323"/>
      <c r="J414" s="323"/>
      <c r="K414" s="323"/>
      <c r="L414" s="323"/>
      <c r="M414" s="323"/>
      <c r="N414" s="323"/>
      <c r="O414" s="323"/>
      <c r="P414" s="323"/>
      <c r="Q414" s="323"/>
      <c r="R414" s="323"/>
      <c r="S414" s="323"/>
    </row>
    <row r="415" spans="1:19" s="322" customFormat="1" ht="20.100000000000001" customHeight="1" x14ac:dyDescent="0.2">
      <c r="A415" s="321"/>
      <c r="B415" s="323"/>
      <c r="C415" s="323"/>
      <c r="D415" s="323"/>
      <c r="E415" s="323"/>
      <c r="F415" s="323"/>
      <c r="G415" s="323"/>
      <c r="H415" s="323"/>
      <c r="I415" s="323"/>
      <c r="J415" s="323"/>
      <c r="K415" s="323"/>
      <c r="L415" s="323"/>
      <c r="M415" s="323"/>
      <c r="N415" s="323"/>
      <c r="O415" s="323"/>
      <c r="P415" s="323"/>
      <c r="Q415" s="323"/>
      <c r="R415" s="323"/>
      <c r="S415" s="323"/>
    </row>
    <row r="416" spans="1:19" s="322" customFormat="1" ht="20.100000000000001" customHeight="1" x14ac:dyDescent="0.2">
      <c r="A416" s="321"/>
      <c r="B416" s="323"/>
      <c r="C416" s="323"/>
      <c r="D416" s="323"/>
      <c r="E416" s="323"/>
      <c r="F416" s="323"/>
      <c r="G416" s="323"/>
      <c r="H416" s="323"/>
      <c r="I416" s="323"/>
      <c r="J416" s="323"/>
      <c r="K416" s="323"/>
      <c r="L416" s="323"/>
      <c r="M416" s="323"/>
      <c r="N416" s="323"/>
      <c r="O416" s="323"/>
      <c r="P416" s="323"/>
      <c r="Q416" s="323"/>
      <c r="R416" s="323"/>
      <c r="S416" s="323"/>
    </row>
    <row r="417" spans="1:19" s="322" customFormat="1" ht="20.100000000000001" customHeight="1" x14ac:dyDescent="0.2">
      <c r="A417" s="321"/>
      <c r="B417" s="323"/>
      <c r="C417" s="323"/>
      <c r="D417" s="323"/>
      <c r="E417" s="323"/>
      <c r="F417" s="323"/>
      <c r="G417" s="323"/>
      <c r="H417" s="323"/>
      <c r="I417" s="323"/>
      <c r="J417" s="323"/>
      <c r="K417" s="323"/>
      <c r="L417" s="323"/>
      <c r="M417" s="323"/>
      <c r="N417" s="323"/>
      <c r="O417" s="323"/>
      <c r="P417" s="323"/>
      <c r="Q417" s="323"/>
      <c r="R417" s="323"/>
      <c r="S417" s="323"/>
    </row>
    <row r="418" spans="1:19" s="322" customFormat="1" ht="20.100000000000001" customHeight="1" x14ac:dyDescent="0.2">
      <c r="A418" s="321"/>
      <c r="B418" s="323"/>
      <c r="C418" s="323"/>
      <c r="D418" s="323"/>
      <c r="E418" s="323"/>
      <c r="F418" s="323"/>
      <c r="G418" s="323"/>
      <c r="H418" s="323"/>
      <c r="I418" s="323"/>
      <c r="J418" s="323"/>
      <c r="K418" s="323"/>
      <c r="L418" s="323"/>
      <c r="M418" s="323"/>
      <c r="N418" s="323"/>
      <c r="O418" s="323"/>
      <c r="P418" s="323"/>
      <c r="Q418" s="323"/>
      <c r="R418" s="323"/>
      <c r="S418" s="323"/>
    </row>
    <row r="419" spans="1:19" s="322" customFormat="1" ht="20.100000000000001" customHeight="1" x14ac:dyDescent="0.2">
      <c r="A419" s="321"/>
      <c r="B419" s="323"/>
      <c r="C419" s="323"/>
      <c r="D419" s="323"/>
      <c r="E419" s="323"/>
      <c r="F419" s="323"/>
      <c r="G419" s="323"/>
      <c r="H419" s="323"/>
      <c r="I419" s="323"/>
      <c r="J419" s="323"/>
      <c r="K419" s="323"/>
      <c r="L419" s="323"/>
      <c r="M419" s="323"/>
      <c r="N419" s="323"/>
      <c r="O419" s="323"/>
      <c r="P419" s="323"/>
      <c r="Q419" s="323"/>
      <c r="R419" s="323"/>
      <c r="S419" s="323"/>
    </row>
    <row r="420" spans="1:19" s="322" customFormat="1" ht="20.100000000000001" customHeight="1" x14ac:dyDescent="0.2">
      <c r="A420" s="321"/>
      <c r="B420" s="323"/>
      <c r="C420" s="323"/>
      <c r="D420" s="323"/>
      <c r="E420" s="323"/>
      <c r="F420" s="323"/>
      <c r="G420" s="323"/>
      <c r="H420" s="323"/>
      <c r="I420" s="323"/>
      <c r="J420" s="323"/>
      <c r="K420" s="323"/>
      <c r="L420" s="323"/>
      <c r="M420" s="323"/>
      <c r="N420" s="323"/>
      <c r="O420" s="323"/>
      <c r="P420" s="323"/>
      <c r="Q420" s="323"/>
      <c r="R420" s="323"/>
      <c r="S420" s="323"/>
    </row>
    <row r="421" spans="1:19" s="322" customFormat="1" ht="20.100000000000001" customHeight="1" x14ac:dyDescent="0.2">
      <c r="A421" s="321"/>
      <c r="B421" s="323"/>
      <c r="C421" s="323"/>
      <c r="D421" s="323"/>
      <c r="E421" s="323"/>
      <c r="F421" s="323"/>
      <c r="G421" s="323"/>
      <c r="H421" s="323"/>
      <c r="I421" s="323"/>
      <c r="J421" s="323"/>
      <c r="K421" s="323"/>
      <c r="L421" s="323"/>
      <c r="M421" s="323"/>
      <c r="N421" s="323"/>
      <c r="O421" s="323"/>
      <c r="P421" s="323"/>
      <c r="Q421" s="323"/>
      <c r="R421" s="323"/>
      <c r="S421" s="323"/>
    </row>
    <row r="422" spans="1:19" s="322" customFormat="1" ht="20.100000000000001" customHeight="1" x14ac:dyDescent="0.2">
      <c r="A422" s="321"/>
      <c r="B422" s="323"/>
      <c r="C422" s="323"/>
      <c r="D422" s="323"/>
      <c r="E422" s="323"/>
      <c r="F422" s="323"/>
      <c r="G422" s="323"/>
      <c r="H422" s="323"/>
      <c r="I422" s="323"/>
      <c r="J422" s="323"/>
      <c r="K422" s="323"/>
      <c r="L422" s="323"/>
      <c r="M422" s="323"/>
      <c r="N422" s="323"/>
      <c r="O422" s="323"/>
      <c r="P422" s="323"/>
      <c r="Q422" s="323"/>
      <c r="R422" s="323"/>
      <c r="S422" s="323"/>
    </row>
    <row r="423" spans="1:19" s="322" customFormat="1" ht="20.100000000000001" customHeight="1" x14ac:dyDescent="0.2">
      <c r="A423" s="321"/>
      <c r="B423" s="323"/>
      <c r="C423" s="323"/>
      <c r="D423" s="323"/>
      <c r="E423" s="323"/>
      <c r="F423" s="323"/>
      <c r="G423" s="323"/>
      <c r="H423" s="323"/>
      <c r="I423" s="323"/>
      <c r="J423" s="323"/>
      <c r="K423" s="323"/>
      <c r="L423" s="323"/>
      <c r="M423" s="323"/>
      <c r="N423" s="323"/>
      <c r="O423" s="323"/>
      <c r="P423" s="323"/>
      <c r="Q423" s="323"/>
      <c r="R423" s="323"/>
      <c r="S423" s="323"/>
    </row>
    <row r="424" spans="1:19" s="322" customFormat="1" ht="20.100000000000001" customHeight="1" x14ac:dyDescent="0.2">
      <c r="A424" s="321"/>
      <c r="B424" s="323"/>
      <c r="C424" s="323"/>
      <c r="D424" s="323"/>
      <c r="E424" s="323"/>
      <c r="F424" s="323"/>
      <c r="G424" s="323"/>
      <c r="H424" s="323"/>
      <c r="I424" s="323"/>
      <c r="J424" s="323"/>
      <c r="K424" s="323"/>
      <c r="L424" s="323"/>
      <c r="M424" s="323"/>
      <c r="N424" s="323"/>
      <c r="O424" s="323"/>
      <c r="P424" s="323"/>
      <c r="Q424" s="323"/>
      <c r="R424" s="323"/>
      <c r="S424" s="323"/>
    </row>
    <row r="425" spans="1:19" s="322" customFormat="1" ht="20.100000000000001" customHeight="1" x14ac:dyDescent="0.2">
      <c r="A425" s="321"/>
      <c r="B425" s="323"/>
      <c r="C425" s="323"/>
      <c r="D425" s="323"/>
      <c r="E425" s="323"/>
      <c r="F425" s="323"/>
      <c r="G425" s="323"/>
      <c r="H425" s="323"/>
      <c r="I425" s="323"/>
      <c r="J425" s="323"/>
      <c r="K425" s="323"/>
      <c r="L425" s="323"/>
      <c r="M425" s="323"/>
      <c r="N425" s="323"/>
      <c r="O425" s="323"/>
      <c r="P425" s="323"/>
      <c r="Q425" s="323"/>
      <c r="R425" s="323"/>
      <c r="S425" s="323"/>
    </row>
    <row r="426" spans="1:19" s="322" customFormat="1" ht="20.100000000000001" customHeight="1" x14ac:dyDescent="0.2">
      <c r="A426" s="321"/>
      <c r="B426" s="323"/>
      <c r="C426" s="323"/>
      <c r="D426" s="323"/>
      <c r="E426" s="323"/>
      <c r="F426" s="323"/>
      <c r="G426" s="323"/>
      <c r="H426" s="323"/>
      <c r="I426" s="323"/>
      <c r="J426" s="323"/>
      <c r="K426" s="323"/>
      <c r="L426" s="323"/>
      <c r="M426" s="323"/>
      <c r="N426" s="323"/>
      <c r="O426" s="323"/>
      <c r="P426" s="323"/>
      <c r="Q426" s="323"/>
      <c r="R426" s="323"/>
      <c r="S426" s="323"/>
    </row>
    <row r="427" spans="1:19" s="322" customFormat="1" ht="20.100000000000001" customHeight="1" x14ac:dyDescent="0.2">
      <c r="A427" s="321"/>
      <c r="B427" s="323"/>
      <c r="C427" s="323"/>
      <c r="D427" s="323"/>
      <c r="E427" s="323"/>
      <c r="F427" s="323"/>
      <c r="G427" s="323"/>
      <c r="H427" s="323"/>
      <c r="I427" s="323"/>
      <c r="J427" s="323"/>
      <c r="K427" s="323"/>
      <c r="L427" s="323"/>
      <c r="M427" s="323"/>
      <c r="N427" s="323"/>
      <c r="O427" s="323"/>
      <c r="P427" s="323"/>
      <c r="Q427" s="323"/>
      <c r="R427" s="323"/>
      <c r="S427" s="323"/>
    </row>
    <row r="428" spans="1:19" s="322" customFormat="1" ht="20.100000000000001" customHeight="1" x14ac:dyDescent="0.2">
      <c r="A428" s="321"/>
      <c r="B428" s="323"/>
      <c r="C428" s="323"/>
      <c r="D428" s="323"/>
      <c r="E428" s="323"/>
      <c r="F428" s="323"/>
      <c r="G428" s="323"/>
      <c r="H428" s="323"/>
      <c r="I428" s="323"/>
      <c r="J428" s="323"/>
      <c r="K428" s="323"/>
      <c r="L428" s="323"/>
      <c r="M428" s="323"/>
      <c r="N428" s="323"/>
      <c r="O428" s="323"/>
      <c r="P428" s="323"/>
      <c r="Q428" s="323"/>
      <c r="R428" s="323"/>
      <c r="S428" s="323"/>
    </row>
    <row r="429" spans="1:19" s="322" customFormat="1" ht="20.100000000000001" customHeight="1" x14ac:dyDescent="0.2">
      <c r="A429" s="321"/>
      <c r="B429" s="323"/>
      <c r="C429" s="323"/>
      <c r="D429" s="323"/>
      <c r="E429" s="323"/>
      <c r="F429" s="323"/>
      <c r="G429" s="323"/>
      <c r="H429" s="323"/>
      <c r="I429" s="323"/>
      <c r="J429" s="323"/>
      <c r="K429" s="323"/>
      <c r="L429" s="323"/>
      <c r="M429" s="323"/>
      <c r="N429" s="323"/>
      <c r="O429" s="323"/>
      <c r="P429" s="323"/>
      <c r="Q429" s="323"/>
      <c r="R429" s="323"/>
      <c r="S429" s="323"/>
    </row>
    <row r="430" spans="1:19" s="322" customFormat="1" ht="20.100000000000001" customHeight="1" x14ac:dyDescent="0.2">
      <c r="A430" s="321"/>
      <c r="B430" s="323"/>
      <c r="C430" s="323"/>
      <c r="D430" s="323"/>
      <c r="E430" s="323"/>
      <c r="F430" s="323"/>
      <c r="G430" s="323"/>
      <c r="H430" s="323"/>
      <c r="I430" s="323"/>
      <c r="J430" s="323"/>
      <c r="K430" s="323"/>
      <c r="L430" s="323"/>
      <c r="M430" s="323"/>
      <c r="N430" s="323"/>
      <c r="O430" s="323"/>
      <c r="P430" s="323"/>
      <c r="Q430" s="323"/>
      <c r="R430" s="323"/>
      <c r="S430" s="323"/>
    </row>
    <row r="431" spans="1:19" s="322" customFormat="1" ht="20.100000000000001" customHeight="1" x14ac:dyDescent="0.2">
      <c r="A431" s="321"/>
      <c r="B431" s="323"/>
      <c r="C431" s="323"/>
      <c r="D431" s="323"/>
      <c r="E431" s="323"/>
      <c r="F431" s="323"/>
      <c r="G431" s="323"/>
      <c r="H431" s="323"/>
      <c r="I431" s="323"/>
      <c r="J431" s="323"/>
      <c r="K431" s="323"/>
      <c r="L431" s="323"/>
      <c r="M431" s="323"/>
      <c r="N431" s="323"/>
      <c r="O431" s="323"/>
      <c r="P431" s="323"/>
      <c r="Q431" s="323"/>
      <c r="R431" s="323"/>
      <c r="S431" s="323"/>
    </row>
    <row r="432" spans="1:19" s="322" customFormat="1" ht="20.100000000000001" customHeight="1" x14ac:dyDescent="0.2">
      <c r="A432" s="321"/>
      <c r="B432" s="323"/>
      <c r="C432" s="323"/>
      <c r="D432" s="323"/>
      <c r="E432" s="323"/>
      <c r="F432" s="323"/>
      <c r="G432" s="323"/>
      <c r="H432" s="323"/>
      <c r="I432" s="323"/>
      <c r="J432" s="323"/>
      <c r="K432" s="323"/>
      <c r="L432" s="323"/>
      <c r="M432" s="323"/>
      <c r="N432" s="323"/>
      <c r="O432" s="323"/>
      <c r="P432" s="323"/>
      <c r="Q432" s="323"/>
      <c r="R432" s="323"/>
      <c r="S432" s="323"/>
    </row>
    <row r="433" spans="1:19" s="322" customFormat="1" ht="20.100000000000001" customHeight="1" x14ac:dyDescent="0.2">
      <c r="A433" s="321"/>
      <c r="B433" s="323"/>
      <c r="C433" s="323"/>
      <c r="D433" s="323"/>
      <c r="E433" s="323"/>
      <c r="F433" s="323"/>
      <c r="G433" s="323"/>
      <c r="H433" s="323"/>
      <c r="I433" s="323"/>
      <c r="J433" s="323"/>
      <c r="K433" s="323"/>
      <c r="L433" s="323"/>
      <c r="M433" s="323"/>
      <c r="N433" s="323"/>
      <c r="O433" s="323"/>
      <c r="P433" s="323"/>
      <c r="Q433" s="323"/>
      <c r="R433" s="323"/>
      <c r="S433" s="323"/>
    </row>
    <row r="434" spans="1:19" s="322" customFormat="1" ht="20.100000000000001" customHeight="1" x14ac:dyDescent="0.2">
      <c r="A434" s="321"/>
      <c r="B434" s="323"/>
      <c r="C434" s="323"/>
      <c r="D434" s="323"/>
      <c r="E434" s="323"/>
      <c r="F434" s="323"/>
      <c r="G434" s="323"/>
      <c r="H434" s="323"/>
      <c r="I434" s="323"/>
      <c r="J434" s="323"/>
      <c r="K434" s="323"/>
      <c r="L434" s="323"/>
      <c r="M434" s="323"/>
      <c r="N434" s="323"/>
      <c r="O434" s="323"/>
      <c r="P434" s="323"/>
      <c r="Q434" s="323"/>
      <c r="R434" s="323"/>
      <c r="S434" s="323"/>
    </row>
    <row r="435" spans="1:19" s="322" customFormat="1" ht="20.100000000000001" customHeight="1" x14ac:dyDescent="0.2">
      <c r="A435" s="321"/>
      <c r="B435" s="323"/>
      <c r="C435" s="323"/>
      <c r="D435" s="323"/>
      <c r="E435" s="323"/>
      <c r="F435" s="323"/>
      <c r="G435" s="323"/>
      <c r="H435" s="323"/>
      <c r="I435" s="323"/>
      <c r="J435" s="323"/>
      <c r="K435" s="323"/>
      <c r="L435" s="323"/>
      <c r="M435" s="323"/>
      <c r="N435" s="323"/>
      <c r="O435" s="323"/>
      <c r="P435" s="323"/>
      <c r="Q435" s="323"/>
      <c r="R435" s="323"/>
      <c r="S435" s="323"/>
    </row>
    <row r="436" spans="1:19" s="322" customFormat="1" ht="20.100000000000001" customHeight="1" x14ac:dyDescent="0.2">
      <c r="A436" s="321"/>
      <c r="B436" s="323"/>
      <c r="C436" s="323"/>
      <c r="D436" s="323"/>
      <c r="E436" s="323"/>
      <c r="F436" s="323"/>
      <c r="G436" s="323"/>
      <c r="H436" s="323"/>
      <c r="I436" s="323"/>
      <c r="J436" s="323"/>
      <c r="K436" s="323"/>
      <c r="L436" s="323"/>
      <c r="M436" s="323"/>
      <c r="N436" s="323"/>
      <c r="O436" s="323"/>
      <c r="P436" s="323"/>
      <c r="Q436" s="323"/>
      <c r="R436" s="323"/>
      <c r="S436" s="323"/>
    </row>
    <row r="437" spans="1:19" s="322" customFormat="1" ht="20.100000000000001" customHeight="1" x14ac:dyDescent="0.2">
      <c r="A437" s="321"/>
      <c r="B437" s="323"/>
      <c r="C437" s="323"/>
      <c r="D437" s="323"/>
      <c r="E437" s="323"/>
      <c r="F437" s="323"/>
      <c r="G437" s="323"/>
      <c r="H437" s="323"/>
      <c r="I437" s="323"/>
      <c r="J437" s="323"/>
      <c r="K437" s="323"/>
      <c r="L437" s="323"/>
      <c r="M437" s="323"/>
      <c r="N437" s="323"/>
      <c r="O437" s="323"/>
      <c r="P437" s="323"/>
      <c r="Q437" s="323"/>
      <c r="R437" s="323"/>
      <c r="S437" s="323"/>
    </row>
    <row r="438" spans="1:19" s="322" customFormat="1" ht="20.100000000000001" customHeight="1" x14ac:dyDescent="0.2">
      <c r="A438" s="321"/>
      <c r="B438" s="323"/>
      <c r="C438" s="323"/>
      <c r="D438" s="323"/>
      <c r="E438" s="323"/>
      <c r="F438" s="323"/>
      <c r="G438" s="323"/>
      <c r="H438" s="323"/>
      <c r="I438" s="323"/>
      <c r="J438" s="323"/>
      <c r="K438" s="323"/>
      <c r="L438" s="323"/>
      <c r="M438" s="323"/>
      <c r="N438" s="323"/>
      <c r="O438" s="323"/>
      <c r="P438" s="323"/>
      <c r="Q438" s="323"/>
      <c r="R438" s="323"/>
      <c r="S438" s="323"/>
    </row>
    <row r="439" spans="1:19" s="322" customFormat="1" ht="20.100000000000001" customHeight="1" x14ac:dyDescent="0.2">
      <c r="A439" s="321"/>
      <c r="B439" s="323"/>
      <c r="C439" s="323"/>
      <c r="D439" s="323"/>
      <c r="E439" s="323"/>
      <c r="F439" s="323"/>
      <c r="G439" s="323"/>
      <c r="H439" s="323"/>
      <c r="I439" s="323"/>
      <c r="J439" s="323"/>
      <c r="K439" s="323"/>
      <c r="L439" s="323"/>
      <c r="M439" s="323"/>
      <c r="N439" s="323"/>
      <c r="O439" s="323"/>
      <c r="P439" s="323"/>
      <c r="Q439" s="323"/>
      <c r="R439" s="323"/>
      <c r="S439" s="323"/>
    </row>
    <row r="440" spans="1:19" s="322" customFormat="1" ht="20.100000000000001" customHeight="1" x14ac:dyDescent="0.2">
      <c r="A440" s="321"/>
      <c r="B440" s="323"/>
      <c r="C440" s="323"/>
      <c r="D440" s="323"/>
      <c r="E440" s="323"/>
      <c r="F440" s="323"/>
      <c r="G440" s="323"/>
      <c r="H440" s="323"/>
      <c r="I440" s="323"/>
      <c r="J440" s="323"/>
      <c r="K440" s="323"/>
      <c r="L440" s="323"/>
      <c r="M440" s="323"/>
      <c r="N440" s="323"/>
      <c r="O440" s="323"/>
      <c r="P440" s="323"/>
      <c r="Q440" s="323"/>
      <c r="R440" s="323"/>
      <c r="S440" s="323"/>
    </row>
    <row r="441" spans="1:19" s="322" customFormat="1" ht="20.100000000000001" customHeight="1" x14ac:dyDescent="0.2">
      <c r="A441" s="321"/>
      <c r="B441" s="323"/>
      <c r="C441" s="323"/>
      <c r="D441" s="323"/>
      <c r="E441" s="323"/>
      <c r="F441" s="323"/>
      <c r="G441" s="323"/>
      <c r="H441" s="323"/>
      <c r="I441" s="323"/>
      <c r="J441" s="323"/>
      <c r="K441" s="323"/>
      <c r="L441" s="323"/>
      <c r="M441" s="323"/>
      <c r="N441" s="323"/>
      <c r="O441" s="323"/>
      <c r="P441" s="323"/>
      <c r="Q441" s="323"/>
      <c r="R441" s="323"/>
      <c r="S441" s="323"/>
    </row>
    <row r="442" spans="1:19" s="322" customFormat="1" ht="20.100000000000001" customHeight="1" x14ac:dyDescent="0.2">
      <c r="A442" s="321"/>
      <c r="B442" s="323"/>
      <c r="C442" s="323"/>
      <c r="D442" s="323"/>
      <c r="E442" s="323"/>
      <c r="F442" s="323"/>
      <c r="G442" s="323"/>
      <c r="H442" s="323"/>
      <c r="I442" s="323"/>
      <c r="J442" s="323"/>
      <c r="K442" s="323"/>
      <c r="L442" s="323"/>
      <c r="M442" s="323"/>
      <c r="N442" s="323"/>
      <c r="O442" s="323"/>
      <c r="P442" s="323"/>
      <c r="Q442" s="323"/>
      <c r="R442" s="323"/>
      <c r="S442" s="323"/>
    </row>
    <row r="443" spans="1:19" s="322" customFormat="1" ht="20.100000000000001" customHeight="1" x14ac:dyDescent="0.2">
      <c r="A443" s="321"/>
      <c r="B443" s="323"/>
      <c r="C443" s="323"/>
      <c r="D443" s="323"/>
      <c r="E443" s="323"/>
      <c r="F443" s="323"/>
      <c r="G443" s="323"/>
      <c r="H443" s="323"/>
      <c r="I443" s="323"/>
      <c r="J443" s="323"/>
      <c r="K443" s="323"/>
      <c r="L443" s="323"/>
      <c r="M443" s="323"/>
      <c r="N443" s="323"/>
      <c r="O443" s="323"/>
      <c r="P443" s="323"/>
      <c r="Q443" s="323"/>
      <c r="R443" s="323"/>
      <c r="S443" s="323"/>
    </row>
    <row r="444" spans="1:19" s="322" customFormat="1" ht="20.100000000000001" customHeight="1" x14ac:dyDescent="0.2">
      <c r="A444" s="321"/>
      <c r="B444" s="323"/>
      <c r="C444" s="323"/>
      <c r="D444" s="323"/>
      <c r="E444" s="323"/>
      <c r="F444" s="323"/>
      <c r="G444" s="323"/>
      <c r="H444" s="323"/>
      <c r="I444" s="323"/>
      <c r="J444" s="323"/>
      <c r="K444" s="323"/>
      <c r="L444" s="323"/>
      <c r="M444" s="323"/>
      <c r="N444" s="323"/>
      <c r="O444" s="323"/>
      <c r="P444" s="323"/>
      <c r="Q444" s="323"/>
      <c r="R444" s="323"/>
      <c r="S444" s="323"/>
    </row>
    <row r="445" spans="1:19" s="322" customFormat="1" ht="20.100000000000001" customHeight="1" x14ac:dyDescent="0.2">
      <c r="A445" s="321"/>
      <c r="B445" s="323"/>
      <c r="C445" s="323"/>
      <c r="D445" s="323"/>
      <c r="E445" s="323"/>
      <c r="F445" s="323"/>
      <c r="G445" s="323"/>
      <c r="H445" s="323"/>
      <c r="I445" s="323"/>
      <c r="J445" s="323"/>
      <c r="K445" s="323"/>
      <c r="L445" s="323"/>
      <c r="M445" s="323"/>
      <c r="N445" s="323"/>
      <c r="O445" s="323"/>
      <c r="P445" s="323"/>
      <c r="Q445" s="323"/>
      <c r="R445" s="323"/>
      <c r="S445" s="323"/>
    </row>
    <row r="446" spans="1:19" ht="20.100000000000001" customHeight="1" x14ac:dyDescent="0.2"/>
    <row r="447" spans="1:19" ht="9.9499999999999993" customHeight="1" x14ac:dyDescent="0.2"/>
  </sheetData>
  <mergeCells count="15">
    <mergeCell ref="O9:S9"/>
    <mergeCell ref="A31:B31"/>
    <mergeCell ref="J8:S8"/>
    <mergeCell ref="A11:A12"/>
    <mergeCell ref="B11:B12"/>
    <mergeCell ref="A8:B10"/>
    <mergeCell ref="C8:C11"/>
    <mergeCell ref="D8:D11"/>
    <mergeCell ref="E8:I9"/>
    <mergeCell ref="J9:N9"/>
    <mergeCell ref="A2:S2"/>
    <mergeCell ref="A3:S3"/>
    <mergeCell ref="A4:S4"/>
    <mergeCell ref="A6:S6"/>
    <mergeCell ref="A7:S7"/>
  </mergeCells>
  <conditionalFormatting sqref="O11:R11 P12:R12 B14:S30">
    <cfRule type="cellIs" dxfId="25" priority="33" operator="equal">
      <formula>0</formula>
    </cfRule>
  </conditionalFormatting>
  <conditionalFormatting sqref="E11:G11">
    <cfRule type="cellIs" dxfId="24" priority="32" operator="equal">
      <formula>0</formula>
    </cfRule>
  </conditionalFormatting>
  <conditionalFormatting sqref="K11:M11">
    <cfRule type="cellIs" dxfId="23" priority="31" operator="equal">
      <formula>0</formula>
    </cfRule>
  </conditionalFormatting>
  <conditionalFormatting sqref="A11:B11">
    <cfRule type="cellIs" dxfId="22" priority="28" operator="equal">
      <formula>0</formula>
    </cfRule>
  </conditionalFormatting>
  <conditionalFormatting sqref="S11">
    <cfRule type="cellIs" dxfId="21" priority="22" operator="equal">
      <formula>0</formula>
    </cfRule>
  </conditionalFormatting>
  <conditionalFormatting sqref="E12:G12 K12:N12">
    <cfRule type="cellIs" dxfId="20" priority="21" operator="equal">
      <formula>0</formula>
    </cfRule>
  </conditionalFormatting>
  <conditionalFormatting sqref="C12:D12">
    <cfRule type="cellIs" dxfId="19" priority="18" operator="equal">
      <formula>0</formula>
    </cfRule>
  </conditionalFormatting>
  <conditionalFormatting sqref="J11">
    <cfRule type="cellIs" dxfId="18" priority="17" operator="equal">
      <formula>0</formula>
    </cfRule>
  </conditionalFormatting>
  <conditionalFormatting sqref="J12">
    <cfRule type="cellIs" dxfId="17" priority="15" operator="equal">
      <formula>0</formula>
    </cfRule>
  </conditionalFormatting>
  <conditionalFormatting sqref="O12">
    <cfRule type="cellIs" dxfId="16" priority="12" operator="equal">
      <formula>0</formula>
    </cfRule>
  </conditionalFormatting>
  <conditionalFormatting sqref="N11">
    <cfRule type="cellIs" dxfId="15" priority="8" operator="equal">
      <formula>0</formula>
    </cfRule>
  </conditionalFormatting>
  <conditionalFormatting sqref="I11">
    <cfRule type="cellIs" dxfId="14" priority="5" operator="equal">
      <formula>0</formula>
    </cfRule>
  </conditionalFormatting>
  <conditionalFormatting sqref="I12">
    <cfRule type="cellIs" dxfId="13" priority="4" operator="equal">
      <formula>0</formula>
    </cfRule>
  </conditionalFormatting>
  <conditionalFormatting sqref="H11">
    <cfRule type="cellIs" dxfId="12" priority="3" operator="equal">
      <formula>0</formula>
    </cfRule>
  </conditionalFormatting>
  <conditionalFormatting sqref="H12">
    <cfRule type="cellIs" dxfId="11" priority="2" operator="equal">
      <formula>0</formula>
    </cfRule>
  </conditionalFormatting>
  <conditionalFormatting sqref="S12">
    <cfRule type="cellIs" dxfId="10" priority="1" operator="equal">
      <formula>0</formula>
    </cfRule>
  </conditionalFormatting>
  <printOptions horizontalCentered="1"/>
  <pageMargins left="0.51181102362204722" right="0.51181102362204722" top="0.78740157480314965" bottom="0.78740157480314965" header="0.31496062992125984" footer="0.31496062992125984"/>
  <pageSetup paperSize="9" scale="18" orientation="landscape"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DJ440"/>
  <sheetViews>
    <sheetView view="pageBreakPreview" topLeftCell="A7" zoomScale="51" zoomScaleNormal="25" zoomScaleSheetLayoutView="51" workbookViewId="0">
      <selection activeCell="A7" sqref="A7:Q7"/>
    </sheetView>
  </sheetViews>
  <sheetFormatPr defaultRowHeight="26.25" x14ac:dyDescent="0.4"/>
  <cols>
    <col min="1" max="1" width="10.5703125" style="317" bestFit="1" customWidth="1"/>
    <col min="2" max="2" width="45.28515625" style="323" bestFit="1" customWidth="1"/>
    <col min="3" max="4" width="30.7109375" style="323" customWidth="1"/>
    <col min="5" max="7" width="35.7109375" style="323" hidden="1" customWidth="1"/>
    <col min="8" max="9" width="35.7109375" style="323" customWidth="1"/>
    <col min="10" max="12" width="35.7109375" style="323" hidden="1" customWidth="1"/>
    <col min="13" max="13" width="35.7109375" style="651" hidden="1" customWidth="1"/>
    <col min="14" max="14" width="35.7109375" style="323" hidden="1" customWidth="1"/>
    <col min="15" max="15" width="57.85546875" style="323" hidden="1" customWidth="1"/>
    <col min="16" max="16" width="71.5703125" style="323" hidden="1" customWidth="1"/>
    <col min="17" max="17" width="35.7109375" style="323" customWidth="1"/>
    <col min="18" max="18" width="9.140625" style="297"/>
    <col min="19" max="19" width="15.7109375" style="297" customWidth="1"/>
    <col min="20" max="20" width="21.28515625" style="297" bestFit="1" customWidth="1"/>
    <col min="21" max="21" width="17.85546875" style="297" bestFit="1" customWidth="1"/>
    <col min="22" max="22" width="21.85546875" style="297" bestFit="1" customWidth="1"/>
    <col min="23" max="23" width="15.7109375" style="297" customWidth="1"/>
    <col min="24" max="24" width="9.140625" style="297"/>
    <col min="25" max="25" width="18.42578125" style="297" bestFit="1" customWidth="1"/>
    <col min="26" max="27" width="19" style="297" bestFit="1" customWidth="1"/>
    <col min="28" max="28" width="20.140625" style="297" hidden="1" customWidth="1"/>
    <col min="29" max="29" width="23.42578125" style="297" bestFit="1" customWidth="1"/>
    <col min="30" max="30" width="9.140625" style="297"/>
    <col min="31" max="31" width="18.42578125" style="297" bestFit="1" customWidth="1"/>
    <col min="32" max="32" width="16.7109375" style="297" bestFit="1" customWidth="1"/>
    <col min="33" max="33" width="21.85546875" style="297" bestFit="1" customWidth="1"/>
    <col min="34" max="34" width="16.7109375" style="297" bestFit="1" customWidth="1"/>
    <col min="35" max="35" width="18" style="297" bestFit="1" customWidth="1"/>
    <col min="36" max="36" width="27.28515625" style="297" customWidth="1"/>
    <col min="37" max="16384" width="9.140625" style="297"/>
  </cols>
  <sheetData>
    <row r="1" spans="1:114" ht="39.950000000000003" customHeight="1" x14ac:dyDescent="0.4">
      <c r="A1" s="318"/>
      <c r="B1" s="319"/>
      <c r="C1" s="319"/>
      <c r="D1" s="319"/>
      <c r="E1" s="319"/>
      <c r="F1" s="319"/>
      <c r="G1" s="319"/>
      <c r="H1" s="319"/>
      <c r="I1" s="319"/>
      <c r="J1" s="319"/>
      <c r="K1" s="319"/>
      <c r="L1" s="319"/>
      <c r="M1" s="643"/>
      <c r="N1" s="319"/>
      <c r="O1" s="319"/>
      <c r="P1" s="319"/>
      <c r="Q1" s="320"/>
    </row>
    <row r="2" spans="1:114" ht="39.950000000000003" customHeight="1" x14ac:dyDescent="0.4">
      <c r="A2" s="748" t="s">
        <v>19</v>
      </c>
      <c r="B2" s="749"/>
      <c r="C2" s="749"/>
      <c r="D2" s="749"/>
      <c r="E2" s="749"/>
      <c r="F2" s="749"/>
      <c r="G2" s="749"/>
      <c r="H2" s="749"/>
      <c r="I2" s="749"/>
      <c r="J2" s="749"/>
      <c r="K2" s="749"/>
      <c r="L2" s="749"/>
      <c r="M2" s="749"/>
      <c r="N2" s="749"/>
      <c r="O2" s="749"/>
      <c r="P2" s="749"/>
      <c r="Q2" s="781"/>
    </row>
    <row r="3" spans="1:114" ht="39.950000000000003" customHeight="1" x14ac:dyDescent="0.4">
      <c r="A3" s="750" t="s">
        <v>193</v>
      </c>
      <c r="B3" s="751"/>
      <c r="C3" s="751"/>
      <c r="D3" s="751"/>
      <c r="E3" s="751"/>
      <c r="F3" s="751"/>
      <c r="G3" s="751"/>
      <c r="H3" s="751"/>
      <c r="I3" s="751"/>
      <c r="J3" s="751"/>
      <c r="K3" s="751"/>
      <c r="L3" s="751"/>
      <c r="M3" s="751"/>
      <c r="N3" s="751"/>
      <c r="O3" s="751"/>
      <c r="P3" s="751"/>
      <c r="Q3" s="784"/>
    </row>
    <row r="4" spans="1:114" ht="39.950000000000003" customHeight="1" x14ac:dyDescent="0.4">
      <c r="A4" s="750" t="s">
        <v>18</v>
      </c>
      <c r="B4" s="751"/>
      <c r="C4" s="751"/>
      <c r="D4" s="751"/>
      <c r="E4" s="751"/>
      <c r="F4" s="751"/>
      <c r="G4" s="751"/>
      <c r="H4" s="751"/>
      <c r="I4" s="751"/>
      <c r="J4" s="751"/>
      <c r="K4" s="751"/>
      <c r="L4" s="751"/>
      <c r="M4" s="751"/>
      <c r="N4" s="751"/>
      <c r="O4" s="751"/>
      <c r="P4" s="751"/>
      <c r="Q4" s="784"/>
    </row>
    <row r="5" spans="1:114" ht="39.950000000000003" customHeight="1" thickBot="1" x14ac:dyDescent="0.45">
      <c r="A5" s="365"/>
      <c r="B5" s="366"/>
      <c r="C5" s="366"/>
      <c r="D5" s="366"/>
      <c r="E5" s="366"/>
      <c r="F5" s="366"/>
      <c r="G5" s="366"/>
      <c r="H5" s="366"/>
      <c r="I5" s="366"/>
      <c r="J5" s="366"/>
      <c r="K5" s="366"/>
      <c r="L5" s="366"/>
      <c r="M5" s="644"/>
      <c r="N5" s="366"/>
      <c r="O5" s="366"/>
      <c r="P5" s="366"/>
      <c r="Q5" s="369"/>
    </row>
    <row r="6" spans="1:114" s="348" customFormat="1" ht="54.95" customHeight="1" thickTop="1" thickBot="1" x14ac:dyDescent="0.5">
      <c r="A6" s="752" t="s">
        <v>418</v>
      </c>
      <c r="B6" s="753"/>
      <c r="C6" s="753"/>
      <c r="D6" s="753"/>
      <c r="E6" s="753"/>
      <c r="F6" s="753"/>
      <c r="G6" s="753"/>
      <c r="H6" s="753"/>
      <c r="I6" s="753"/>
      <c r="J6" s="753"/>
      <c r="K6" s="753"/>
      <c r="L6" s="753"/>
      <c r="M6" s="753"/>
      <c r="N6" s="753"/>
      <c r="O6" s="753"/>
      <c r="P6" s="753"/>
      <c r="Q6" s="787"/>
    </row>
    <row r="7" spans="1:114" ht="54.95" customHeight="1" thickTop="1" thickBot="1" x14ac:dyDescent="0.45">
      <c r="A7" s="1045" t="str">
        <f>'ORÇAMENTO GERAL'!C7</f>
        <v>EXECUÇÃO DOS SERVIÇOS DE DRENAGEM SUPERFICIAL E DRENAGEM PROFUNDA  NA TRAVESSA BEIRA RIO E RUA MOCAJATUBA - NO DISTRITO INDUSTRIAL  NO MUNICÍPIO DE ANANINDEUA (PA).</v>
      </c>
      <c r="B7" s="1046"/>
      <c r="C7" s="1046"/>
      <c r="D7" s="1046"/>
      <c r="E7" s="1046"/>
      <c r="F7" s="1046"/>
      <c r="G7" s="1046"/>
      <c r="H7" s="1046"/>
      <c r="I7" s="1046"/>
      <c r="J7" s="1046"/>
      <c r="K7" s="1046"/>
      <c r="L7" s="1046"/>
      <c r="M7" s="1046"/>
      <c r="N7" s="1046"/>
      <c r="O7" s="1046"/>
      <c r="P7" s="1046"/>
      <c r="Q7" s="1047"/>
    </row>
    <row r="8" spans="1:114" ht="39.950000000000003" customHeight="1" x14ac:dyDescent="0.4">
      <c r="A8" s="768" t="s">
        <v>398</v>
      </c>
      <c r="B8" s="769"/>
      <c r="C8" s="771" t="s">
        <v>408</v>
      </c>
      <c r="D8" s="774" t="s">
        <v>406</v>
      </c>
      <c r="E8" s="776" t="s">
        <v>410</v>
      </c>
      <c r="F8" s="777"/>
      <c r="G8" s="778"/>
      <c r="H8" s="782" t="s">
        <v>477</v>
      </c>
      <c r="I8" s="783"/>
      <c r="J8" s="364" t="s">
        <v>478</v>
      </c>
      <c r="K8" s="790" t="s">
        <v>401</v>
      </c>
      <c r="L8" s="777"/>
      <c r="M8" s="777"/>
      <c r="N8" s="777"/>
      <c r="O8" s="778"/>
      <c r="P8" s="785" t="s">
        <v>609</v>
      </c>
      <c r="Q8" s="788" t="s">
        <v>12</v>
      </c>
      <c r="AL8" s="317"/>
      <c r="AM8" s="317"/>
      <c r="AN8" s="317"/>
      <c r="AO8" s="317"/>
      <c r="AP8" s="317"/>
      <c r="AQ8" s="317"/>
      <c r="AR8" s="317"/>
      <c r="AS8" s="317"/>
      <c r="AT8" s="317"/>
      <c r="AU8" s="317"/>
      <c r="AV8" s="317"/>
      <c r="AW8" s="317"/>
      <c r="AX8" s="317"/>
      <c r="AY8" s="317"/>
      <c r="AZ8" s="317"/>
      <c r="BA8" s="317"/>
      <c r="BB8" s="317"/>
      <c r="BC8" s="317"/>
      <c r="BD8" s="317"/>
      <c r="BE8" s="317"/>
      <c r="BF8" s="317"/>
    </row>
    <row r="9" spans="1:114" ht="52.5" x14ac:dyDescent="0.4">
      <c r="A9" s="768"/>
      <c r="B9" s="769"/>
      <c r="C9" s="771"/>
      <c r="D9" s="774"/>
      <c r="E9" s="333" t="s">
        <v>406</v>
      </c>
      <c r="F9" s="332" t="s">
        <v>407</v>
      </c>
      <c r="G9" s="334" t="s">
        <v>409</v>
      </c>
      <c r="H9" s="336" t="s">
        <v>412</v>
      </c>
      <c r="I9" s="334" t="s">
        <v>413</v>
      </c>
      <c r="J9" s="360" t="s">
        <v>479</v>
      </c>
      <c r="K9" s="325" t="s">
        <v>416</v>
      </c>
      <c r="L9" s="325" t="s">
        <v>417</v>
      </c>
      <c r="M9" s="645" t="s">
        <v>405</v>
      </c>
      <c r="N9" s="325" t="s">
        <v>613</v>
      </c>
      <c r="O9" s="326" t="s">
        <v>403</v>
      </c>
      <c r="P9" s="786"/>
      <c r="Q9" s="789"/>
      <c r="AL9" s="317"/>
      <c r="AM9" s="317"/>
      <c r="AN9" s="317"/>
      <c r="AO9" s="317"/>
      <c r="AP9" s="317"/>
      <c r="AQ9" s="317"/>
      <c r="AR9" s="317"/>
      <c r="AS9" s="317"/>
      <c r="AT9" s="317"/>
      <c r="AU9" s="317"/>
      <c r="AV9" s="317"/>
      <c r="AW9" s="317"/>
      <c r="AX9" s="317"/>
      <c r="AY9" s="317"/>
      <c r="AZ9" s="317"/>
      <c r="BA9" s="317"/>
      <c r="BB9" s="317"/>
      <c r="BC9" s="317"/>
      <c r="BD9" s="317"/>
      <c r="BE9" s="317"/>
      <c r="BF9" s="317"/>
    </row>
    <row r="10" spans="1:114" ht="39.950000000000003" customHeight="1" x14ac:dyDescent="0.4">
      <c r="A10" s="762" t="s">
        <v>7</v>
      </c>
      <c r="B10" s="764" t="s">
        <v>404</v>
      </c>
      <c r="C10" s="772"/>
      <c r="D10" s="775"/>
      <c r="E10" s="327"/>
      <c r="F10" s="329">
        <v>0.1</v>
      </c>
      <c r="G10" s="335"/>
      <c r="H10" s="331"/>
      <c r="I10" s="335"/>
      <c r="J10" s="361"/>
      <c r="K10" s="331"/>
      <c r="L10" s="328"/>
      <c r="M10" s="646"/>
      <c r="N10" s="329"/>
      <c r="O10" s="362">
        <v>5</v>
      </c>
      <c r="P10" s="454">
        <v>0.2</v>
      </c>
      <c r="Q10" s="376"/>
      <c r="AL10" s="317"/>
      <c r="AM10" s="317"/>
      <c r="AN10" s="317"/>
      <c r="AO10" s="317"/>
      <c r="AP10" s="317"/>
      <c r="AQ10" s="317"/>
      <c r="AR10" s="317"/>
      <c r="AS10" s="317"/>
      <c r="AT10" s="317"/>
      <c r="AU10" s="317"/>
      <c r="AV10" s="317"/>
      <c r="AW10" s="317"/>
      <c r="AX10" s="317"/>
      <c r="AY10" s="317"/>
      <c r="AZ10" s="317"/>
      <c r="BA10" s="317"/>
      <c r="BB10" s="317"/>
      <c r="BC10" s="317"/>
      <c r="BD10" s="317"/>
      <c r="BE10" s="317"/>
      <c r="BF10" s="317"/>
    </row>
    <row r="11" spans="1:114" ht="39.950000000000003" customHeight="1" thickBot="1" x14ac:dyDescent="0.45">
      <c r="A11" s="779"/>
      <c r="B11" s="780"/>
      <c r="C11" s="340" t="s">
        <v>52</v>
      </c>
      <c r="D11" s="341" t="s">
        <v>55</v>
      </c>
      <c r="E11" s="342" t="s">
        <v>15</v>
      </c>
      <c r="F11" s="343" t="s">
        <v>411</v>
      </c>
      <c r="G11" s="344" t="s">
        <v>428</v>
      </c>
      <c r="H11" s="345" t="s">
        <v>552</v>
      </c>
      <c r="I11" s="344" t="s">
        <v>551</v>
      </c>
      <c r="J11" s="359" t="s">
        <v>553</v>
      </c>
      <c r="K11" s="346" t="s">
        <v>554</v>
      </c>
      <c r="L11" s="347" t="s">
        <v>555</v>
      </c>
      <c r="M11" s="647" t="s">
        <v>490</v>
      </c>
      <c r="N11" s="347" t="s">
        <v>614</v>
      </c>
      <c r="O11" s="363" t="s">
        <v>556</v>
      </c>
      <c r="P11" s="455" t="s">
        <v>611</v>
      </c>
      <c r="Q11" s="370" t="s">
        <v>589</v>
      </c>
      <c r="AL11" s="317"/>
      <c r="AM11" s="317"/>
      <c r="AN11" s="317"/>
      <c r="AO11" s="317"/>
      <c r="AP11" s="317"/>
      <c r="AQ11" s="317"/>
      <c r="AR11" s="317"/>
      <c r="AS11" s="317"/>
      <c r="AT11" s="317"/>
      <c r="AU11" s="317"/>
      <c r="AV11" s="317"/>
      <c r="AW11" s="317"/>
      <c r="AX11" s="317"/>
      <c r="AY11" s="317"/>
      <c r="AZ11" s="317"/>
      <c r="BA11" s="317"/>
      <c r="BB11" s="317"/>
      <c r="BC11" s="317"/>
      <c r="BD11" s="317"/>
      <c r="BE11" s="317"/>
      <c r="BF11" s="317"/>
    </row>
    <row r="12" spans="1:114" ht="73.5" customHeight="1" thickTop="1" x14ac:dyDescent="0.4">
      <c r="A12" s="591"/>
      <c r="B12" s="592"/>
      <c r="C12" s="592"/>
      <c r="D12" s="592"/>
      <c r="E12" s="592"/>
      <c r="F12" s="592"/>
      <c r="G12" s="592"/>
      <c r="H12" s="592"/>
      <c r="I12" s="592"/>
      <c r="J12" s="592"/>
      <c r="K12" s="592"/>
      <c r="L12" s="592"/>
      <c r="M12" s="648"/>
      <c r="N12" s="592"/>
      <c r="O12" s="592"/>
      <c r="P12" s="592"/>
      <c r="Q12" s="609"/>
      <c r="R12" s="317"/>
      <c r="S12" s="350"/>
      <c r="T12" s="593" t="s">
        <v>546</v>
      </c>
      <c r="U12" s="593" t="s">
        <v>545</v>
      </c>
      <c r="V12" s="593" t="s">
        <v>547</v>
      </c>
      <c r="W12" s="418" t="s">
        <v>23</v>
      </c>
      <c r="X12" s="317"/>
      <c r="Y12" s="418" t="s">
        <v>532</v>
      </c>
      <c r="Z12" s="418" t="s">
        <v>548</v>
      </c>
      <c r="AA12" s="418" t="s">
        <v>549</v>
      </c>
      <c r="AB12" s="418" t="s">
        <v>547</v>
      </c>
      <c r="AC12" s="418" t="s">
        <v>23</v>
      </c>
      <c r="AD12" s="317"/>
      <c r="AE12" s="611" t="str">
        <f>K9</f>
        <v>IMPRIMAÇAO (m²)</v>
      </c>
      <c r="AF12" s="611" t="str">
        <f>L9</f>
        <v>PINT. LIG.  (m²)</v>
      </c>
      <c r="AG12" s="611" t="str">
        <f>N9</f>
        <v>CBUQ (m³)</v>
      </c>
      <c r="AH12" s="611" t="str">
        <f>O9</f>
        <v>TRANSPORTE CBUQ</v>
      </c>
      <c r="AI12" s="611" t="s">
        <v>608</v>
      </c>
      <c r="AJ12" s="418" t="s">
        <v>23</v>
      </c>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17"/>
      <c r="BP12" s="317"/>
      <c r="BQ12" s="317"/>
      <c r="BR12" s="317"/>
      <c r="BS12" s="317"/>
      <c r="BT12" s="317"/>
      <c r="BU12" s="317"/>
      <c r="BV12" s="317"/>
      <c r="BW12" s="317"/>
      <c r="BX12" s="317"/>
      <c r="BY12" s="317"/>
      <c r="BZ12" s="317"/>
      <c r="CA12" s="317"/>
      <c r="CB12" s="317"/>
      <c r="CC12" s="317"/>
      <c r="CD12" s="317"/>
      <c r="CE12" s="317"/>
      <c r="CF12" s="317"/>
      <c r="CG12" s="317"/>
      <c r="CH12" s="317"/>
      <c r="CI12" s="317"/>
      <c r="CJ12" s="317"/>
      <c r="CK12" s="317"/>
      <c r="CL12" s="317"/>
      <c r="CM12" s="317"/>
      <c r="CN12" s="317"/>
      <c r="CO12" s="317"/>
      <c r="CP12" s="317"/>
      <c r="CQ12" s="317"/>
      <c r="CR12" s="317"/>
      <c r="CS12" s="317"/>
      <c r="CT12" s="317"/>
      <c r="CU12" s="317"/>
      <c r="CV12" s="317"/>
      <c r="CW12" s="317"/>
      <c r="CX12" s="317"/>
      <c r="CY12" s="317"/>
      <c r="CZ12" s="317"/>
      <c r="DA12" s="317"/>
      <c r="DB12" s="317"/>
      <c r="DC12" s="317"/>
      <c r="DD12" s="317"/>
      <c r="DE12" s="317"/>
      <c r="DF12" s="317"/>
      <c r="DG12" s="317"/>
      <c r="DH12" s="317"/>
      <c r="DI12" s="317"/>
      <c r="DJ12" s="317"/>
    </row>
    <row r="13" spans="1:114" s="597" customFormat="1" ht="54.95" customHeight="1" x14ac:dyDescent="0.4">
      <c r="A13" s="594">
        <f>DADOS!A9</f>
        <v>1</v>
      </c>
      <c r="B13" s="600" t="str">
        <f>DADOS!B9</f>
        <v>TV. BEIRA RIO</v>
      </c>
      <c r="C13" s="595">
        <f>DADOS!E9</f>
        <v>400</v>
      </c>
      <c r="D13" s="596">
        <f>DADOS!F9</f>
        <v>6</v>
      </c>
      <c r="E13" s="596"/>
      <c r="F13" s="596">
        <f>C13*E13*$F$10*0</f>
        <v>0</v>
      </c>
      <c r="G13" s="596">
        <f>C13*E13*2*0</f>
        <v>0</v>
      </c>
      <c r="H13" s="596">
        <f>I13*0.43*0.1</f>
        <v>34.4</v>
      </c>
      <c r="I13" s="596">
        <f>C13*2</f>
        <v>800</v>
      </c>
      <c r="J13" s="596"/>
      <c r="K13" s="596">
        <f>C13*D13*0</f>
        <v>0</v>
      </c>
      <c r="L13" s="596">
        <f>C13*D13*0</f>
        <v>0</v>
      </c>
      <c r="M13" s="649">
        <v>3.5000000000000003E-2</v>
      </c>
      <c r="N13" s="596">
        <f>L13*M13</f>
        <v>0</v>
      </c>
      <c r="O13" s="596">
        <f>N13*$O$10</f>
        <v>0</v>
      </c>
      <c r="P13" s="596">
        <f>(30%*C13)*(20%*D13)*$P$10*2*0</f>
        <v>0</v>
      </c>
      <c r="Q13" s="610">
        <f>C13*D13*30%</f>
        <v>720</v>
      </c>
      <c r="R13" s="317"/>
      <c r="S13" s="598">
        <f t="shared" ref="S13:S19" si="0">A13</f>
        <v>1</v>
      </c>
      <c r="T13" s="374">
        <f>'ORÇAMENTO GERAL'!$J$18</f>
        <v>37.35</v>
      </c>
      <c r="U13" s="374">
        <f>'ORÇAMENTO GERAL'!$J$22</f>
        <v>115.89</v>
      </c>
      <c r="V13" s="374">
        <f>'ORÇAMENTO GERAL'!$J$19</f>
        <v>118.45</v>
      </c>
      <c r="W13" s="374">
        <f t="shared" ref="W13:W19" si="1">(F13*T13)+(G13*U13)+(F13*V13)</f>
        <v>0</v>
      </c>
      <c r="X13" s="317"/>
      <c r="Y13" s="374">
        <f>'ORÇAMENTO GERAL'!$J$23</f>
        <v>19.62</v>
      </c>
      <c r="Z13" s="374">
        <f>'ORÇAMENTO GERAL'!$J$24</f>
        <v>60.52</v>
      </c>
      <c r="AA13" s="374">
        <f>'ORÇAMENTO GERAL'!$J$25</f>
        <v>48.55</v>
      </c>
      <c r="AB13" s="374"/>
      <c r="AC13" s="374">
        <f t="shared" ref="AC13:AC19" si="2">(H13*Y13)+(I13*Z13)+(I13*AA13)+(H13*AB13)</f>
        <v>87930.93</v>
      </c>
      <c r="AD13" s="317"/>
      <c r="AE13" s="374">
        <f>'ORÇAMENTO GERAL'!$J$116</f>
        <v>21.58</v>
      </c>
      <c r="AF13" s="374">
        <f>'ORÇAMENTO GERAL'!$J$117</f>
        <v>3.65</v>
      </c>
      <c r="AG13" s="374">
        <f>'ORÇAMENTO GERAL'!$J$120</f>
        <v>3007.52</v>
      </c>
      <c r="AH13" s="374">
        <f>'ORÇAMENTO GERAL'!$J$121</f>
        <v>2.96</v>
      </c>
      <c r="AI13" s="374">
        <f>'ORÇAMENTO GERAL'!$J$122*0</f>
        <v>0</v>
      </c>
      <c r="AJ13" s="374">
        <f t="shared" ref="AJ13:AJ19" si="3">(K13*AE13)+(L13*AF13)+(N13*AG13)+(O13*AH13)+(P13*AI13)</f>
        <v>0</v>
      </c>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7"/>
      <c r="BP13" s="317"/>
      <c r="BQ13" s="317"/>
      <c r="BR13" s="317"/>
      <c r="BS13" s="317"/>
      <c r="BT13" s="317"/>
      <c r="BU13" s="317"/>
      <c r="BV13" s="317"/>
      <c r="BW13" s="317"/>
      <c r="BX13" s="317"/>
      <c r="BY13" s="317"/>
      <c r="BZ13" s="317"/>
      <c r="CA13" s="317"/>
      <c r="CB13" s="317"/>
      <c r="CC13" s="317"/>
      <c r="CD13" s="317"/>
      <c r="CE13" s="317"/>
      <c r="CF13" s="317"/>
      <c r="CG13" s="317"/>
      <c r="CH13" s="317"/>
      <c r="CI13" s="317"/>
      <c r="CJ13" s="317"/>
      <c r="CK13" s="317"/>
      <c r="CL13" s="317"/>
      <c r="CM13" s="317"/>
      <c r="CN13" s="317"/>
      <c r="CO13" s="317"/>
      <c r="CP13" s="317"/>
      <c r="CQ13" s="317"/>
      <c r="CR13" s="317"/>
      <c r="CS13" s="317"/>
      <c r="CT13" s="317"/>
      <c r="CU13" s="317"/>
      <c r="CV13" s="317"/>
      <c r="CW13" s="317"/>
      <c r="CX13" s="317"/>
      <c r="CY13" s="317"/>
      <c r="CZ13" s="317"/>
      <c r="DA13" s="317"/>
      <c r="DB13" s="317"/>
      <c r="DC13" s="317"/>
      <c r="DD13" s="317"/>
      <c r="DE13" s="317"/>
      <c r="DF13" s="317"/>
      <c r="DG13" s="317"/>
      <c r="DH13" s="317"/>
      <c r="DI13" s="317"/>
      <c r="DJ13" s="317"/>
    </row>
    <row r="14" spans="1:114" s="597" customFormat="1" ht="54.95" customHeight="1" thickBot="1" x14ac:dyDescent="0.45">
      <c r="A14" s="594">
        <f>DADOS!A10</f>
        <v>2</v>
      </c>
      <c r="B14" s="600" t="str">
        <f>DADOS!B10</f>
        <v>RUA MOCAJATUBA</v>
      </c>
      <c r="C14" s="595">
        <f>DADOS!E10</f>
        <v>275</v>
      </c>
      <c r="D14" s="596">
        <f>DADOS!F10</f>
        <v>6</v>
      </c>
      <c r="E14" s="596"/>
      <c r="F14" s="596"/>
      <c r="G14" s="596"/>
      <c r="H14" s="596">
        <f>I14*0.43*0.1</f>
        <v>23.65</v>
      </c>
      <c r="I14" s="596">
        <f>C14*2</f>
        <v>550</v>
      </c>
      <c r="J14" s="596"/>
      <c r="K14" s="596">
        <f t="shared" ref="K14:K15" si="4">C14*D14*0</f>
        <v>0</v>
      </c>
      <c r="L14" s="596">
        <f t="shared" ref="L14:L15" si="5">C14*D14*0</f>
        <v>0</v>
      </c>
      <c r="M14" s="649">
        <v>3.5000000000000003E-2</v>
      </c>
      <c r="N14" s="596">
        <f t="shared" ref="N14:N23" si="6">L14*M14</f>
        <v>0</v>
      </c>
      <c r="O14" s="596">
        <f t="shared" ref="O14:O23" si="7">N14*$O$10</f>
        <v>0</v>
      </c>
      <c r="P14" s="596">
        <f t="shared" ref="P14:P23" si="8">(30%*C14)*(20%*D14)*$P$10*2*0</f>
        <v>0</v>
      </c>
      <c r="Q14" s="610">
        <f t="shared" ref="Q14:Q23" si="9">C14*D14*30%</f>
        <v>495</v>
      </c>
      <c r="R14" s="317"/>
      <c r="S14" s="598">
        <f t="shared" si="0"/>
        <v>2</v>
      </c>
      <c r="T14" s="374">
        <f>'ORÇAMENTO GERAL'!$J$18</f>
        <v>37.35</v>
      </c>
      <c r="U14" s="374">
        <f>'ORÇAMENTO GERAL'!$J$22</f>
        <v>115.89</v>
      </c>
      <c r="V14" s="374">
        <f>'ORÇAMENTO GERAL'!$J$19</f>
        <v>118.45</v>
      </c>
      <c r="W14" s="374">
        <f t="shared" si="1"/>
        <v>0</v>
      </c>
      <c r="X14" s="317"/>
      <c r="Y14" s="374">
        <f>'ORÇAMENTO GERAL'!$J$23</f>
        <v>19.62</v>
      </c>
      <c r="Z14" s="374">
        <f>'ORÇAMENTO GERAL'!$J$24</f>
        <v>60.52</v>
      </c>
      <c r="AA14" s="374">
        <f>'ORÇAMENTO GERAL'!$J$25</f>
        <v>48.55</v>
      </c>
      <c r="AB14" s="374"/>
      <c r="AC14" s="374">
        <f t="shared" si="2"/>
        <v>60452.51</v>
      </c>
      <c r="AD14" s="317"/>
      <c r="AE14" s="374">
        <f>'ORÇAMENTO GERAL'!$J$116</f>
        <v>21.58</v>
      </c>
      <c r="AF14" s="374">
        <f>'ORÇAMENTO GERAL'!$J$117</f>
        <v>3.65</v>
      </c>
      <c r="AG14" s="374">
        <f>'ORÇAMENTO GERAL'!$J$120</f>
        <v>3007.52</v>
      </c>
      <c r="AH14" s="374">
        <f>'ORÇAMENTO GERAL'!$J$121</f>
        <v>2.96</v>
      </c>
      <c r="AI14" s="374">
        <f>'ORÇAMENTO GERAL'!$J$122*0</f>
        <v>0</v>
      </c>
      <c r="AJ14" s="374">
        <f t="shared" si="3"/>
        <v>0</v>
      </c>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17"/>
      <c r="BH14" s="317"/>
      <c r="BI14" s="317"/>
      <c r="BJ14" s="317"/>
      <c r="BK14" s="317"/>
      <c r="BL14" s="317"/>
      <c r="BM14" s="317"/>
      <c r="BN14" s="317"/>
      <c r="BO14" s="317"/>
      <c r="BP14" s="317"/>
      <c r="BQ14" s="317"/>
      <c r="BR14" s="317"/>
      <c r="BS14" s="317"/>
      <c r="BT14" s="317"/>
      <c r="BU14" s="317"/>
      <c r="BV14" s="317"/>
      <c r="BW14" s="317"/>
      <c r="BX14" s="317"/>
      <c r="BY14" s="317"/>
      <c r="BZ14" s="317"/>
      <c r="CA14" s="317"/>
      <c r="CB14" s="317"/>
      <c r="CC14" s="317"/>
      <c r="CD14" s="317"/>
      <c r="CE14" s="317"/>
      <c r="CF14" s="317"/>
      <c r="CG14" s="317"/>
      <c r="CH14" s="317"/>
      <c r="CI14" s="317"/>
      <c r="CJ14" s="317"/>
      <c r="CK14" s="317"/>
      <c r="CL14" s="317"/>
      <c r="CM14" s="317"/>
      <c r="CN14" s="317"/>
      <c r="CO14" s="317"/>
      <c r="CP14" s="317"/>
      <c r="CQ14" s="317"/>
      <c r="CR14" s="317"/>
      <c r="CS14" s="317"/>
      <c r="CT14" s="317"/>
      <c r="CU14" s="317"/>
      <c r="CV14" s="317"/>
      <c r="CW14" s="317"/>
      <c r="CX14" s="317"/>
      <c r="CY14" s="317"/>
      <c r="CZ14" s="317"/>
      <c r="DA14" s="317"/>
      <c r="DB14" s="317"/>
      <c r="DC14" s="317"/>
      <c r="DD14" s="317"/>
      <c r="DE14" s="317"/>
      <c r="DF14" s="317"/>
      <c r="DG14" s="317"/>
      <c r="DH14" s="317"/>
      <c r="DI14" s="317"/>
      <c r="DJ14" s="317"/>
    </row>
    <row r="15" spans="1:114" s="597" customFormat="1" ht="54.95" hidden="1" customHeight="1" thickBot="1" x14ac:dyDescent="0.45">
      <c r="A15" s="594">
        <f>DADOS!A11</f>
        <v>0</v>
      </c>
      <c r="B15" s="600">
        <f>DADOS!B11</f>
        <v>0</v>
      </c>
      <c r="C15" s="595">
        <f>DADOS!E11</f>
        <v>0</v>
      </c>
      <c r="D15" s="596">
        <f>DADOS!F11</f>
        <v>0</v>
      </c>
      <c r="E15" s="596"/>
      <c r="F15" s="596"/>
      <c r="G15" s="596"/>
      <c r="H15" s="596">
        <f t="shared" ref="H14:H15" si="10">I15*0.43*0.1*0</f>
        <v>0</v>
      </c>
      <c r="I15" s="596">
        <f t="shared" ref="I14:I15" si="11">C15*2*0</f>
        <v>0</v>
      </c>
      <c r="J15" s="596"/>
      <c r="K15" s="596">
        <f t="shared" si="4"/>
        <v>0</v>
      </c>
      <c r="L15" s="596">
        <f t="shared" si="5"/>
        <v>0</v>
      </c>
      <c r="M15" s="649">
        <v>3.5000000000000003E-2</v>
      </c>
      <c r="N15" s="596">
        <f t="shared" si="6"/>
        <v>0</v>
      </c>
      <c r="O15" s="596">
        <f t="shared" si="7"/>
        <v>0</v>
      </c>
      <c r="P15" s="596">
        <f t="shared" si="8"/>
        <v>0</v>
      </c>
      <c r="Q15" s="610">
        <f t="shared" si="9"/>
        <v>0</v>
      </c>
      <c r="R15" s="317"/>
      <c r="S15" s="598">
        <f t="shared" si="0"/>
        <v>0</v>
      </c>
      <c r="T15" s="374">
        <f>'ORÇAMENTO GERAL'!$J$18</f>
        <v>37.35</v>
      </c>
      <c r="U15" s="374">
        <f>'ORÇAMENTO GERAL'!$J$22</f>
        <v>115.89</v>
      </c>
      <c r="V15" s="374">
        <f>'ORÇAMENTO GERAL'!$J$19</f>
        <v>118.45</v>
      </c>
      <c r="W15" s="374">
        <f t="shared" si="1"/>
        <v>0</v>
      </c>
      <c r="X15" s="317"/>
      <c r="Y15" s="374">
        <f>'ORÇAMENTO GERAL'!$J$23</f>
        <v>19.62</v>
      </c>
      <c r="Z15" s="374">
        <f>'ORÇAMENTO GERAL'!$J$24</f>
        <v>60.52</v>
      </c>
      <c r="AA15" s="374">
        <f>'ORÇAMENTO GERAL'!$J$25</f>
        <v>48.55</v>
      </c>
      <c r="AB15" s="374"/>
      <c r="AC15" s="374">
        <f t="shared" si="2"/>
        <v>0</v>
      </c>
      <c r="AD15" s="317"/>
      <c r="AE15" s="374">
        <f>'ORÇAMENTO GERAL'!$J$116</f>
        <v>21.58</v>
      </c>
      <c r="AF15" s="374">
        <f>'ORÇAMENTO GERAL'!$J$117</f>
        <v>3.65</v>
      </c>
      <c r="AG15" s="374">
        <f>'ORÇAMENTO GERAL'!$J$120</f>
        <v>3007.52</v>
      </c>
      <c r="AH15" s="374">
        <f>'ORÇAMENTO GERAL'!$J$121</f>
        <v>2.96</v>
      </c>
      <c r="AI15" s="374">
        <f>'ORÇAMENTO GERAL'!$J$122*0</f>
        <v>0</v>
      </c>
      <c r="AJ15" s="374">
        <f t="shared" si="3"/>
        <v>0</v>
      </c>
      <c r="AK15" s="317"/>
      <c r="AL15" s="317"/>
      <c r="AM15" s="317"/>
      <c r="AN15" s="317"/>
      <c r="AO15" s="317"/>
      <c r="AP15" s="317"/>
      <c r="AQ15" s="317"/>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Q15" s="317"/>
      <c r="BR15" s="317"/>
      <c r="BS15" s="317"/>
      <c r="BT15" s="317"/>
      <c r="BU15" s="317"/>
      <c r="BV15" s="317"/>
      <c r="BW15" s="317"/>
      <c r="BX15" s="317"/>
      <c r="BY15" s="317"/>
      <c r="BZ15" s="317"/>
      <c r="CA15" s="317"/>
      <c r="CB15" s="317"/>
      <c r="CC15" s="317"/>
      <c r="CD15" s="317"/>
      <c r="CE15" s="317"/>
      <c r="CF15" s="317"/>
      <c r="CG15" s="317"/>
      <c r="CH15" s="317"/>
      <c r="CI15" s="317"/>
      <c r="CJ15" s="317"/>
      <c r="CK15" s="317"/>
      <c r="CL15" s="317"/>
      <c r="CM15" s="317"/>
      <c r="CN15" s="317"/>
      <c r="CO15" s="317"/>
      <c r="CP15" s="317"/>
      <c r="CQ15" s="317"/>
      <c r="CR15" s="317"/>
      <c r="CS15" s="317"/>
      <c r="CT15" s="317"/>
      <c r="CU15" s="317"/>
      <c r="CV15" s="317"/>
      <c r="CW15" s="317"/>
      <c r="CX15" s="317"/>
      <c r="CY15" s="317"/>
      <c r="CZ15" s="317"/>
      <c r="DA15" s="317"/>
      <c r="DB15" s="317"/>
      <c r="DC15" s="317"/>
      <c r="DD15" s="317"/>
      <c r="DE15" s="317"/>
      <c r="DF15" s="317"/>
      <c r="DG15" s="317"/>
      <c r="DH15" s="317"/>
      <c r="DI15" s="317"/>
      <c r="DJ15" s="317"/>
    </row>
    <row r="16" spans="1:114" s="597" customFormat="1" ht="54.95" hidden="1" customHeight="1" x14ac:dyDescent="0.4">
      <c r="A16" s="594">
        <f>DADOS!A12</f>
        <v>4</v>
      </c>
      <c r="B16" s="600">
        <f>DADOS!B12</f>
        <v>0</v>
      </c>
      <c r="C16" s="595">
        <f>DADOS!E12</f>
        <v>0</v>
      </c>
      <c r="D16" s="596">
        <f>DADOS!F12</f>
        <v>0</v>
      </c>
      <c r="E16" s="596"/>
      <c r="F16" s="596">
        <f t="shared" ref="F16:F19" si="12">C16*E16*$F$10</f>
        <v>0</v>
      </c>
      <c r="G16" s="596">
        <f t="shared" ref="G16:G19" si="13">C16*E16*2</f>
        <v>0</v>
      </c>
      <c r="H16" s="596">
        <f t="shared" ref="H16:H22" si="14">I16*0.43*0.1</f>
        <v>0</v>
      </c>
      <c r="I16" s="596">
        <f>C16*2</f>
        <v>0</v>
      </c>
      <c r="J16" s="596"/>
      <c r="K16" s="596">
        <f t="shared" ref="K16:K23" si="15">C16*D16</f>
        <v>0</v>
      </c>
      <c r="L16" s="596">
        <f t="shared" ref="L16:L23" si="16">C16*D16</f>
        <v>0</v>
      </c>
      <c r="M16" s="649">
        <v>3.5000000000000003E-2</v>
      </c>
      <c r="N16" s="596">
        <f t="shared" si="6"/>
        <v>0</v>
      </c>
      <c r="O16" s="596">
        <f t="shared" si="7"/>
        <v>0</v>
      </c>
      <c r="P16" s="596">
        <f t="shared" si="8"/>
        <v>0</v>
      </c>
      <c r="Q16" s="610">
        <f t="shared" si="9"/>
        <v>0</v>
      </c>
      <c r="R16" s="317"/>
      <c r="S16" s="598">
        <f t="shared" si="0"/>
        <v>4</v>
      </c>
      <c r="T16" s="374">
        <f>'ORÇAMENTO GERAL'!$J$18</f>
        <v>37.35</v>
      </c>
      <c r="U16" s="374">
        <f>'ORÇAMENTO GERAL'!$J$22</f>
        <v>115.89</v>
      </c>
      <c r="V16" s="374">
        <f>'ORÇAMENTO GERAL'!$J$19</f>
        <v>118.45</v>
      </c>
      <c r="W16" s="374">
        <f t="shared" si="1"/>
        <v>0</v>
      </c>
      <c r="X16" s="317"/>
      <c r="Y16" s="374">
        <f>'ORÇAMENTO GERAL'!$J$23</f>
        <v>19.62</v>
      </c>
      <c r="Z16" s="374">
        <f>'ORÇAMENTO GERAL'!$J$24</f>
        <v>60.52</v>
      </c>
      <c r="AA16" s="374">
        <f>'ORÇAMENTO GERAL'!$J$25</f>
        <v>48.55</v>
      </c>
      <c r="AB16" s="374"/>
      <c r="AC16" s="374">
        <f t="shared" si="2"/>
        <v>0</v>
      </c>
      <c r="AD16" s="317"/>
      <c r="AE16" s="374">
        <f>'ORÇAMENTO GERAL'!$J$116</f>
        <v>21.58</v>
      </c>
      <c r="AF16" s="374">
        <f>'ORÇAMENTO GERAL'!$J$117</f>
        <v>3.65</v>
      </c>
      <c r="AG16" s="374">
        <f>'ORÇAMENTO GERAL'!$J$120</f>
        <v>3007.52</v>
      </c>
      <c r="AH16" s="374">
        <f>'ORÇAMENTO GERAL'!$J$121</f>
        <v>2.96</v>
      </c>
      <c r="AI16" s="374">
        <f>'ORÇAMENTO GERAL'!$J$122*0</f>
        <v>0</v>
      </c>
      <c r="AJ16" s="374">
        <f t="shared" si="3"/>
        <v>0</v>
      </c>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317"/>
      <c r="BV16" s="317"/>
      <c r="BW16" s="317"/>
      <c r="BX16" s="317"/>
      <c r="BY16" s="317"/>
      <c r="BZ16" s="317"/>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317"/>
      <c r="DI16" s="317"/>
      <c r="DJ16" s="317"/>
    </row>
    <row r="17" spans="1:114" s="597" customFormat="1" ht="54.95" hidden="1" customHeight="1" x14ac:dyDescent="0.4">
      <c r="A17" s="594">
        <f>DADOS!A13</f>
        <v>5</v>
      </c>
      <c r="B17" s="600">
        <f>DADOS!B13</f>
        <v>0</v>
      </c>
      <c r="C17" s="595">
        <f>DADOS!E13</f>
        <v>0</v>
      </c>
      <c r="D17" s="596">
        <f>DADOS!F13</f>
        <v>0</v>
      </c>
      <c r="E17" s="596"/>
      <c r="F17" s="596">
        <f t="shared" si="12"/>
        <v>0</v>
      </c>
      <c r="G17" s="596">
        <f t="shared" si="13"/>
        <v>0</v>
      </c>
      <c r="H17" s="596">
        <f t="shared" si="14"/>
        <v>0</v>
      </c>
      <c r="I17" s="596">
        <f t="shared" ref="I17:I23" si="17">C17*2</f>
        <v>0</v>
      </c>
      <c r="J17" s="596"/>
      <c r="K17" s="596">
        <f t="shared" si="15"/>
        <v>0</v>
      </c>
      <c r="L17" s="596">
        <f t="shared" si="16"/>
        <v>0</v>
      </c>
      <c r="M17" s="649">
        <v>3.5000000000000003E-2</v>
      </c>
      <c r="N17" s="596">
        <f t="shared" si="6"/>
        <v>0</v>
      </c>
      <c r="O17" s="596">
        <f t="shared" si="7"/>
        <v>0</v>
      </c>
      <c r="P17" s="596">
        <f t="shared" si="8"/>
        <v>0</v>
      </c>
      <c r="Q17" s="610">
        <f t="shared" si="9"/>
        <v>0</v>
      </c>
      <c r="R17" s="317"/>
      <c r="S17" s="598">
        <f t="shared" si="0"/>
        <v>5</v>
      </c>
      <c r="T17" s="374">
        <f>'ORÇAMENTO GERAL'!$J$18</f>
        <v>37.35</v>
      </c>
      <c r="U17" s="374">
        <f>'ORÇAMENTO GERAL'!$J$22</f>
        <v>115.89</v>
      </c>
      <c r="V17" s="374">
        <f>'ORÇAMENTO GERAL'!$J$19</f>
        <v>118.45</v>
      </c>
      <c r="W17" s="374">
        <f t="shared" si="1"/>
        <v>0</v>
      </c>
      <c r="X17" s="317"/>
      <c r="Y17" s="374">
        <f>'ORÇAMENTO GERAL'!$J$23</f>
        <v>19.62</v>
      </c>
      <c r="Z17" s="374">
        <f>'ORÇAMENTO GERAL'!$J$24</f>
        <v>60.52</v>
      </c>
      <c r="AA17" s="374">
        <f>'ORÇAMENTO GERAL'!$J$25</f>
        <v>48.55</v>
      </c>
      <c r="AB17" s="374"/>
      <c r="AC17" s="374">
        <f t="shared" si="2"/>
        <v>0</v>
      </c>
      <c r="AD17" s="317"/>
      <c r="AE17" s="374">
        <f>'ORÇAMENTO GERAL'!$J$116</f>
        <v>21.58</v>
      </c>
      <c r="AF17" s="374">
        <f>'ORÇAMENTO GERAL'!$J$117</f>
        <v>3.65</v>
      </c>
      <c r="AG17" s="374">
        <f>'ORÇAMENTO GERAL'!$J$120</f>
        <v>3007.52</v>
      </c>
      <c r="AH17" s="374">
        <f>'ORÇAMENTO GERAL'!$J$121</f>
        <v>2.96</v>
      </c>
      <c r="AI17" s="374">
        <f>'ORÇAMENTO GERAL'!$J$122*0</f>
        <v>0</v>
      </c>
      <c r="AJ17" s="374">
        <f t="shared" si="3"/>
        <v>0</v>
      </c>
      <c r="AK17" s="317"/>
      <c r="AL17" s="317"/>
      <c r="AM17" s="317"/>
      <c r="AN17" s="317"/>
      <c r="AO17" s="317"/>
      <c r="AP17" s="317"/>
      <c r="AQ17" s="317"/>
      <c r="AR17" s="317"/>
      <c r="AS17" s="317"/>
      <c r="AT17" s="317"/>
      <c r="AU17" s="317"/>
      <c r="AV17" s="317"/>
      <c r="AW17" s="317"/>
      <c r="AX17" s="317"/>
      <c r="AY17" s="317"/>
      <c r="AZ17" s="317"/>
      <c r="BA17" s="317"/>
      <c r="BB17" s="317"/>
      <c r="BC17" s="317"/>
      <c r="BD17" s="317"/>
      <c r="BE17" s="317"/>
      <c r="BF17" s="317"/>
      <c r="BG17" s="317"/>
      <c r="BH17" s="317"/>
      <c r="BI17" s="317"/>
      <c r="BJ17" s="317"/>
      <c r="BK17" s="317"/>
      <c r="BL17" s="317"/>
      <c r="BM17" s="317"/>
      <c r="BN17" s="317"/>
      <c r="BO17" s="317"/>
      <c r="BP17" s="317"/>
      <c r="BQ17" s="317"/>
      <c r="BR17" s="317"/>
      <c r="BS17" s="317"/>
      <c r="BT17" s="317"/>
      <c r="BU17" s="317"/>
      <c r="BV17" s="317"/>
      <c r="BW17" s="317"/>
      <c r="BX17" s="317"/>
      <c r="BY17" s="317"/>
      <c r="BZ17" s="317"/>
      <c r="CA17" s="317"/>
      <c r="CB17" s="317"/>
      <c r="CC17" s="317"/>
      <c r="CD17" s="317"/>
      <c r="CE17" s="317"/>
      <c r="CF17" s="317"/>
      <c r="CG17" s="317"/>
      <c r="CH17" s="317"/>
      <c r="CI17" s="317"/>
      <c r="CJ17" s="317"/>
      <c r="CK17" s="317"/>
      <c r="CL17" s="317"/>
      <c r="CM17" s="317"/>
      <c r="CN17" s="317"/>
      <c r="CO17" s="317"/>
      <c r="CP17" s="317"/>
      <c r="CQ17" s="317"/>
      <c r="CR17" s="317"/>
      <c r="CS17" s="317"/>
      <c r="CT17" s="317"/>
      <c r="CU17" s="317"/>
      <c r="CV17" s="317"/>
      <c r="CW17" s="317"/>
      <c r="CX17" s="317"/>
      <c r="CY17" s="317"/>
      <c r="CZ17" s="317"/>
      <c r="DA17" s="317"/>
      <c r="DB17" s="317"/>
      <c r="DC17" s="317"/>
      <c r="DD17" s="317"/>
      <c r="DE17" s="317"/>
      <c r="DF17" s="317"/>
      <c r="DG17" s="317"/>
      <c r="DH17" s="317"/>
      <c r="DI17" s="317"/>
      <c r="DJ17" s="317"/>
    </row>
    <row r="18" spans="1:114" s="597" customFormat="1" ht="54.95" hidden="1" customHeight="1" x14ac:dyDescent="0.4">
      <c r="A18" s="594">
        <f>DADOS!A14</f>
        <v>6</v>
      </c>
      <c r="B18" s="600">
        <f>DADOS!B14</f>
        <v>0</v>
      </c>
      <c r="C18" s="595">
        <f>DADOS!E14</f>
        <v>0</v>
      </c>
      <c r="D18" s="596">
        <f>DADOS!F14</f>
        <v>0</v>
      </c>
      <c r="E18" s="596"/>
      <c r="F18" s="596">
        <f t="shared" si="12"/>
        <v>0</v>
      </c>
      <c r="G18" s="596">
        <f t="shared" si="13"/>
        <v>0</v>
      </c>
      <c r="H18" s="596">
        <f t="shared" si="14"/>
        <v>0</v>
      </c>
      <c r="I18" s="596">
        <f t="shared" si="17"/>
        <v>0</v>
      </c>
      <c r="J18" s="596"/>
      <c r="K18" s="596">
        <f t="shared" si="15"/>
        <v>0</v>
      </c>
      <c r="L18" s="596">
        <f t="shared" si="16"/>
        <v>0</v>
      </c>
      <c r="M18" s="649">
        <v>3.5000000000000003E-2</v>
      </c>
      <c r="N18" s="596">
        <f t="shared" si="6"/>
        <v>0</v>
      </c>
      <c r="O18" s="596">
        <f t="shared" si="7"/>
        <v>0</v>
      </c>
      <c r="P18" s="596">
        <f t="shared" si="8"/>
        <v>0</v>
      </c>
      <c r="Q18" s="610">
        <f t="shared" si="9"/>
        <v>0</v>
      </c>
      <c r="R18" s="317"/>
      <c r="S18" s="598">
        <f t="shared" si="0"/>
        <v>6</v>
      </c>
      <c r="T18" s="374">
        <f>'ORÇAMENTO GERAL'!$J$18</f>
        <v>37.35</v>
      </c>
      <c r="U18" s="374">
        <f>'ORÇAMENTO GERAL'!$J$22</f>
        <v>115.89</v>
      </c>
      <c r="V18" s="374">
        <f>'ORÇAMENTO GERAL'!$J$19</f>
        <v>118.45</v>
      </c>
      <c r="W18" s="374">
        <f t="shared" si="1"/>
        <v>0</v>
      </c>
      <c r="X18" s="317"/>
      <c r="Y18" s="374">
        <f>'ORÇAMENTO GERAL'!$J$23</f>
        <v>19.62</v>
      </c>
      <c r="Z18" s="374">
        <f>'ORÇAMENTO GERAL'!$J$24</f>
        <v>60.52</v>
      </c>
      <c r="AA18" s="374">
        <f>'ORÇAMENTO GERAL'!$J$25</f>
        <v>48.55</v>
      </c>
      <c r="AB18" s="374"/>
      <c r="AC18" s="374">
        <f t="shared" si="2"/>
        <v>0</v>
      </c>
      <c r="AD18" s="317"/>
      <c r="AE18" s="374">
        <f>'ORÇAMENTO GERAL'!$J$116</f>
        <v>21.58</v>
      </c>
      <c r="AF18" s="374">
        <f>'ORÇAMENTO GERAL'!$J$117</f>
        <v>3.65</v>
      </c>
      <c r="AG18" s="374">
        <f>'ORÇAMENTO GERAL'!$J$120</f>
        <v>3007.52</v>
      </c>
      <c r="AH18" s="374">
        <f>'ORÇAMENTO GERAL'!$J$121</f>
        <v>2.96</v>
      </c>
      <c r="AI18" s="374">
        <f>'ORÇAMENTO GERAL'!$J$122*0</f>
        <v>0</v>
      </c>
      <c r="AJ18" s="374">
        <f t="shared" si="3"/>
        <v>0</v>
      </c>
      <c r="AK18" s="317"/>
      <c r="AL18" s="317"/>
      <c r="AM18" s="317"/>
      <c r="AN18" s="317"/>
      <c r="AO18" s="317"/>
      <c r="AP18" s="317"/>
      <c r="AQ18" s="317"/>
      <c r="AR18" s="317"/>
      <c r="AS18" s="317"/>
      <c r="AT18" s="317"/>
      <c r="AU18" s="317"/>
      <c r="AV18" s="317"/>
      <c r="AW18" s="317"/>
      <c r="AX18" s="317"/>
      <c r="AY18" s="317"/>
      <c r="AZ18" s="317"/>
      <c r="BA18" s="317"/>
      <c r="BB18" s="317"/>
      <c r="BC18" s="317"/>
      <c r="BD18" s="317"/>
      <c r="BE18" s="317"/>
      <c r="BF18" s="317"/>
      <c r="BG18" s="317"/>
      <c r="BH18" s="317"/>
      <c r="BI18" s="317"/>
      <c r="BJ18" s="317"/>
      <c r="BK18" s="317"/>
      <c r="BL18" s="317"/>
      <c r="BM18" s="317"/>
      <c r="BN18" s="317"/>
      <c r="BO18" s="317"/>
      <c r="BP18" s="317"/>
      <c r="BQ18" s="317"/>
      <c r="BR18" s="317"/>
      <c r="BS18" s="317"/>
      <c r="BT18" s="317"/>
      <c r="BU18" s="317"/>
      <c r="BV18" s="317"/>
      <c r="BW18" s="317"/>
      <c r="BX18" s="317"/>
      <c r="BY18" s="317"/>
      <c r="BZ18" s="317"/>
      <c r="CA18" s="317"/>
      <c r="CB18" s="317"/>
      <c r="CC18" s="317"/>
      <c r="CD18" s="317"/>
      <c r="CE18" s="317"/>
      <c r="CF18" s="317"/>
      <c r="CG18" s="317"/>
      <c r="CH18" s="317"/>
      <c r="CI18" s="317"/>
      <c r="CJ18" s="317"/>
      <c r="CK18" s="317"/>
      <c r="CL18" s="317"/>
      <c r="CM18" s="317"/>
      <c r="CN18" s="317"/>
      <c r="CO18" s="317"/>
      <c r="CP18" s="317"/>
      <c r="CQ18" s="317"/>
      <c r="CR18" s="317"/>
      <c r="CS18" s="317"/>
      <c r="CT18" s="317"/>
      <c r="CU18" s="317"/>
      <c r="CV18" s="317"/>
      <c r="CW18" s="317"/>
      <c r="CX18" s="317"/>
      <c r="CY18" s="317"/>
      <c r="CZ18" s="317"/>
      <c r="DA18" s="317"/>
      <c r="DB18" s="317"/>
      <c r="DC18" s="317"/>
      <c r="DD18" s="317"/>
      <c r="DE18" s="317"/>
      <c r="DF18" s="317"/>
      <c r="DG18" s="317"/>
      <c r="DH18" s="317"/>
      <c r="DI18" s="317"/>
      <c r="DJ18" s="317"/>
    </row>
    <row r="19" spans="1:114" s="599" customFormat="1" ht="54.95" hidden="1" customHeight="1" x14ac:dyDescent="0.4">
      <c r="A19" s="594">
        <f>DADOS!A15</f>
        <v>7</v>
      </c>
      <c r="B19" s="600">
        <f>DADOS!B15</f>
        <v>0</v>
      </c>
      <c r="C19" s="595">
        <f>DADOS!E15</f>
        <v>0</v>
      </c>
      <c r="D19" s="596">
        <f>DADOS!F15</f>
        <v>0</v>
      </c>
      <c r="E19" s="596"/>
      <c r="F19" s="596">
        <f t="shared" si="12"/>
        <v>0</v>
      </c>
      <c r="G19" s="596">
        <f t="shared" si="13"/>
        <v>0</v>
      </c>
      <c r="H19" s="596">
        <f t="shared" si="14"/>
        <v>0</v>
      </c>
      <c r="I19" s="596">
        <f t="shared" si="17"/>
        <v>0</v>
      </c>
      <c r="J19" s="596"/>
      <c r="K19" s="596">
        <f t="shared" si="15"/>
        <v>0</v>
      </c>
      <c r="L19" s="596">
        <f t="shared" si="16"/>
        <v>0</v>
      </c>
      <c r="M19" s="649">
        <v>3.5000000000000003E-2</v>
      </c>
      <c r="N19" s="596">
        <f t="shared" si="6"/>
        <v>0</v>
      </c>
      <c r="O19" s="596">
        <f t="shared" si="7"/>
        <v>0</v>
      </c>
      <c r="P19" s="596">
        <f t="shared" si="8"/>
        <v>0</v>
      </c>
      <c r="Q19" s="610">
        <f t="shared" si="9"/>
        <v>0</v>
      </c>
      <c r="R19" s="317"/>
      <c r="S19" s="598">
        <f t="shared" si="0"/>
        <v>7</v>
      </c>
      <c r="T19" s="374">
        <f>'ORÇAMENTO GERAL'!$J$18</f>
        <v>37.35</v>
      </c>
      <c r="U19" s="374">
        <f>'ORÇAMENTO GERAL'!$J$22</f>
        <v>115.89</v>
      </c>
      <c r="V19" s="374">
        <f>'ORÇAMENTO GERAL'!$J$19</f>
        <v>118.45</v>
      </c>
      <c r="W19" s="374">
        <f t="shared" si="1"/>
        <v>0</v>
      </c>
      <c r="X19" s="317"/>
      <c r="Y19" s="374">
        <f>'ORÇAMENTO GERAL'!$J$23</f>
        <v>19.62</v>
      </c>
      <c r="Z19" s="374">
        <f>'ORÇAMENTO GERAL'!$J$24</f>
        <v>60.52</v>
      </c>
      <c r="AA19" s="374">
        <f>'ORÇAMENTO GERAL'!$J$25</f>
        <v>48.55</v>
      </c>
      <c r="AB19" s="374"/>
      <c r="AC19" s="374">
        <f t="shared" si="2"/>
        <v>0</v>
      </c>
      <c r="AD19" s="317"/>
      <c r="AE19" s="374">
        <f>'ORÇAMENTO GERAL'!$J$116</f>
        <v>21.58</v>
      </c>
      <c r="AF19" s="374">
        <f>'ORÇAMENTO GERAL'!$J$117</f>
        <v>3.65</v>
      </c>
      <c r="AG19" s="374">
        <f>'ORÇAMENTO GERAL'!$J$120</f>
        <v>3007.52</v>
      </c>
      <c r="AH19" s="374">
        <f>'ORÇAMENTO GERAL'!$J$121</f>
        <v>2.96</v>
      </c>
      <c r="AI19" s="374">
        <f>'ORÇAMENTO GERAL'!$J$122*0</f>
        <v>0</v>
      </c>
      <c r="AJ19" s="374">
        <f t="shared" si="3"/>
        <v>0</v>
      </c>
      <c r="AK19" s="317"/>
      <c r="AL19" s="317"/>
      <c r="AM19" s="317"/>
      <c r="AN19" s="317"/>
      <c r="AO19" s="317"/>
      <c r="AP19" s="317"/>
      <c r="AQ19" s="317"/>
      <c r="AR19" s="317"/>
      <c r="AS19" s="317"/>
      <c r="AT19" s="317"/>
      <c r="AU19" s="317"/>
      <c r="AV19" s="317"/>
      <c r="AW19" s="317"/>
      <c r="AX19" s="317"/>
      <c r="AY19" s="317"/>
      <c r="AZ19" s="317"/>
      <c r="BA19" s="317"/>
      <c r="BB19" s="317"/>
      <c r="BC19" s="317"/>
      <c r="BD19" s="317"/>
      <c r="BE19" s="317"/>
      <c r="BF19" s="317"/>
      <c r="BG19" s="317"/>
      <c r="BH19" s="317"/>
      <c r="BI19" s="317"/>
      <c r="BJ19" s="317"/>
      <c r="BK19" s="317"/>
      <c r="BL19" s="317"/>
      <c r="BM19" s="317"/>
      <c r="BN19" s="317"/>
      <c r="BO19" s="317"/>
      <c r="BP19" s="317"/>
      <c r="BQ19" s="317"/>
      <c r="BR19" s="317"/>
      <c r="BS19" s="317"/>
      <c r="BT19" s="317"/>
      <c r="BU19" s="317"/>
      <c r="BV19" s="317"/>
      <c r="BW19" s="317"/>
      <c r="BX19" s="317"/>
      <c r="BY19" s="317"/>
      <c r="BZ19" s="317"/>
      <c r="CA19" s="317"/>
      <c r="CB19" s="317"/>
      <c r="CC19" s="317"/>
      <c r="CD19" s="317"/>
      <c r="CE19" s="317"/>
      <c r="CF19" s="317"/>
      <c r="CG19" s="317"/>
      <c r="CH19" s="317"/>
      <c r="CI19" s="317"/>
      <c r="CJ19" s="317"/>
      <c r="CK19" s="317"/>
      <c r="CL19" s="317"/>
      <c r="CM19" s="317"/>
      <c r="CN19" s="317"/>
      <c r="CO19" s="317"/>
      <c r="CP19" s="317"/>
      <c r="CQ19" s="317"/>
      <c r="CR19" s="317"/>
      <c r="CS19" s="317"/>
      <c r="CT19" s="317"/>
      <c r="CU19" s="317"/>
      <c r="CV19" s="317"/>
      <c r="CW19" s="317"/>
      <c r="CX19" s="317"/>
      <c r="CY19" s="317"/>
      <c r="CZ19" s="317"/>
      <c r="DA19" s="317"/>
      <c r="DB19" s="317"/>
      <c r="DC19" s="317"/>
      <c r="DD19" s="317"/>
      <c r="DE19" s="317"/>
      <c r="DF19" s="317"/>
      <c r="DG19" s="317"/>
      <c r="DH19" s="317"/>
      <c r="DI19" s="317"/>
      <c r="DJ19" s="317"/>
    </row>
    <row r="20" spans="1:114" s="317" customFormat="1" ht="54.95" hidden="1" customHeight="1" x14ac:dyDescent="0.4">
      <c r="A20" s="594">
        <v>8</v>
      </c>
      <c r="B20" s="600">
        <f>DADOS!B16</f>
        <v>0</v>
      </c>
      <c r="C20" s="595">
        <f>DADOS!E16</f>
        <v>0</v>
      </c>
      <c r="D20" s="596">
        <f>DADOS!F16</f>
        <v>0</v>
      </c>
      <c r="E20" s="596"/>
      <c r="F20" s="596"/>
      <c r="G20" s="596"/>
      <c r="H20" s="596">
        <f t="shared" si="14"/>
        <v>0</v>
      </c>
      <c r="I20" s="596">
        <f t="shared" ref="I20:I22" si="18">C20*2</f>
        <v>0</v>
      </c>
      <c r="J20" s="596"/>
      <c r="K20" s="596">
        <f t="shared" ref="K20:K22" si="19">C20*D20</f>
        <v>0</v>
      </c>
      <c r="L20" s="596">
        <f t="shared" ref="L20:L22" si="20">C20*D20</f>
        <v>0</v>
      </c>
      <c r="M20" s="649">
        <v>3.5000000000000003E-2</v>
      </c>
      <c r="N20" s="596">
        <f t="shared" ref="N20:N22" si="21">L20*M20</f>
        <v>0</v>
      </c>
      <c r="O20" s="596">
        <f t="shared" ref="O20:O22" si="22">N20*$O$10</f>
        <v>0</v>
      </c>
      <c r="P20" s="596">
        <f t="shared" ref="P20:P22" si="23">(30%*C20)*(20%*D20)*$P$10*2*0</f>
        <v>0</v>
      </c>
      <c r="Q20" s="610">
        <f t="shared" ref="Q20:Q22" si="24">C20*D20*30%</f>
        <v>0</v>
      </c>
      <c r="S20" s="598"/>
      <c r="T20" s="374">
        <f>'ORÇAMENTO GERAL'!$J$18</f>
        <v>37.35</v>
      </c>
      <c r="U20" s="374">
        <f>'ORÇAMENTO GERAL'!$J$22</f>
        <v>115.89</v>
      </c>
      <c r="V20" s="374">
        <f>'ORÇAMENTO GERAL'!$J$19</f>
        <v>118.45</v>
      </c>
      <c r="W20" s="374">
        <f t="shared" ref="W20:W23" si="25">(F20*T20)+(G20*U20)+(F20*V20)</f>
        <v>0</v>
      </c>
      <c r="Y20" s="374">
        <f>'ORÇAMENTO GERAL'!$J$23</f>
        <v>19.62</v>
      </c>
      <c r="Z20" s="374">
        <f>'ORÇAMENTO GERAL'!$J$24</f>
        <v>60.52</v>
      </c>
      <c r="AA20" s="374">
        <f>'ORÇAMENTO GERAL'!$J$25</f>
        <v>48.55</v>
      </c>
      <c r="AB20" s="374"/>
      <c r="AC20" s="374">
        <f t="shared" ref="AC20:AC23" si="26">(H20*Y20)+(I20*Z20)+(I20*AA20)+(H20*AB20)</f>
        <v>0</v>
      </c>
      <c r="AE20" s="374">
        <f>'ORÇAMENTO GERAL'!$J$116</f>
        <v>21.58</v>
      </c>
      <c r="AF20" s="374">
        <f>'ORÇAMENTO GERAL'!$J$117</f>
        <v>3.65</v>
      </c>
      <c r="AG20" s="374">
        <f>'ORÇAMENTO GERAL'!$J$120</f>
        <v>3007.52</v>
      </c>
      <c r="AH20" s="374">
        <f>'ORÇAMENTO GERAL'!$J$121</f>
        <v>2.96</v>
      </c>
      <c r="AI20" s="374">
        <f>'ORÇAMENTO GERAL'!$J$122*0</f>
        <v>0</v>
      </c>
      <c r="AJ20" s="374">
        <f t="shared" ref="AJ20:AJ22" si="27">(K20*AE20)+(L20*AF20)+(N20*AG20)+(O20*AH20)+(P20*AI20)</f>
        <v>0</v>
      </c>
    </row>
    <row r="21" spans="1:114" s="317" customFormat="1" ht="54.95" hidden="1" customHeight="1" x14ac:dyDescent="0.4">
      <c r="A21" s="594">
        <v>9</v>
      </c>
      <c r="B21" s="600">
        <f>DADOS!B17</f>
        <v>0</v>
      </c>
      <c r="C21" s="595">
        <f>DADOS!E17</f>
        <v>0</v>
      </c>
      <c r="D21" s="596">
        <f>DADOS!F17</f>
        <v>0</v>
      </c>
      <c r="E21" s="596"/>
      <c r="F21" s="596"/>
      <c r="G21" s="596"/>
      <c r="H21" s="596">
        <f t="shared" si="14"/>
        <v>0</v>
      </c>
      <c r="I21" s="596">
        <f t="shared" si="18"/>
        <v>0</v>
      </c>
      <c r="J21" s="596"/>
      <c r="K21" s="596">
        <f t="shared" si="19"/>
        <v>0</v>
      </c>
      <c r="L21" s="596">
        <f t="shared" si="20"/>
        <v>0</v>
      </c>
      <c r="M21" s="649">
        <v>3.5000000000000003E-2</v>
      </c>
      <c r="N21" s="596">
        <f t="shared" si="21"/>
        <v>0</v>
      </c>
      <c r="O21" s="596">
        <f t="shared" si="22"/>
        <v>0</v>
      </c>
      <c r="P21" s="596">
        <f t="shared" si="23"/>
        <v>0</v>
      </c>
      <c r="Q21" s="610">
        <f t="shared" si="24"/>
        <v>0</v>
      </c>
      <c r="S21" s="598"/>
      <c r="T21" s="374">
        <f>'ORÇAMENTO GERAL'!$J$18</f>
        <v>37.35</v>
      </c>
      <c r="U21" s="374">
        <f>'ORÇAMENTO GERAL'!$J$22</f>
        <v>115.89</v>
      </c>
      <c r="V21" s="374">
        <f>'ORÇAMENTO GERAL'!$J$19</f>
        <v>118.45</v>
      </c>
      <c r="W21" s="374">
        <f t="shared" si="25"/>
        <v>0</v>
      </c>
      <c r="Y21" s="374">
        <f>'ORÇAMENTO GERAL'!$J$23</f>
        <v>19.62</v>
      </c>
      <c r="Z21" s="374">
        <f>'ORÇAMENTO GERAL'!$J$24</f>
        <v>60.52</v>
      </c>
      <c r="AA21" s="374">
        <f>'ORÇAMENTO GERAL'!$J$25</f>
        <v>48.55</v>
      </c>
      <c r="AB21" s="374"/>
      <c r="AC21" s="374">
        <f t="shared" si="26"/>
        <v>0</v>
      </c>
      <c r="AE21" s="374">
        <f>'ORÇAMENTO GERAL'!$J$116</f>
        <v>21.58</v>
      </c>
      <c r="AF21" s="374">
        <f>'ORÇAMENTO GERAL'!$J$117</f>
        <v>3.65</v>
      </c>
      <c r="AG21" s="374">
        <f>'ORÇAMENTO GERAL'!$J$120</f>
        <v>3007.52</v>
      </c>
      <c r="AH21" s="374">
        <f>'ORÇAMENTO GERAL'!$J$121</f>
        <v>2.96</v>
      </c>
      <c r="AI21" s="374">
        <f>'ORÇAMENTO GERAL'!$J$122*0</f>
        <v>0</v>
      </c>
      <c r="AJ21" s="374">
        <f t="shared" si="27"/>
        <v>0</v>
      </c>
    </row>
    <row r="22" spans="1:114" s="317" customFormat="1" ht="54.95" hidden="1" customHeight="1" x14ac:dyDescent="0.4">
      <c r="A22" s="594">
        <v>10</v>
      </c>
      <c r="B22" s="600">
        <f>DADOS!B18</f>
        <v>0</v>
      </c>
      <c r="C22" s="595">
        <f>DADOS!E18</f>
        <v>0</v>
      </c>
      <c r="D22" s="596">
        <f>DADOS!F18</f>
        <v>0</v>
      </c>
      <c r="E22" s="596"/>
      <c r="F22" s="596"/>
      <c r="G22" s="596"/>
      <c r="H22" s="596">
        <f t="shared" si="14"/>
        <v>0</v>
      </c>
      <c r="I22" s="596">
        <f t="shared" si="18"/>
        <v>0</v>
      </c>
      <c r="J22" s="596"/>
      <c r="K22" s="596">
        <f t="shared" si="19"/>
        <v>0</v>
      </c>
      <c r="L22" s="596">
        <f t="shared" si="20"/>
        <v>0</v>
      </c>
      <c r="M22" s="649">
        <v>3.5000000000000003E-2</v>
      </c>
      <c r="N22" s="596">
        <f t="shared" si="21"/>
        <v>0</v>
      </c>
      <c r="O22" s="596">
        <f t="shared" si="22"/>
        <v>0</v>
      </c>
      <c r="P22" s="596">
        <f t="shared" si="23"/>
        <v>0</v>
      </c>
      <c r="Q22" s="610">
        <f t="shared" si="24"/>
        <v>0</v>
      </c>
      <c r="S22" s="598"/>
      <c r="T22" s="374">
        <f>'ORÇAMENTO GERAL'!$J$18</f>
        <v>37.35</v>
      </c>
      <c r="U22" s="374">
        <f>'ORÇAMENTO GERAL'!$J$22</f>
        <v>115.89</v>
      </c>
      <c r="V22" s="374">
        <f>'ORÇAMENTO GERAL'!$J$19</f>
        <v>118.45</v>
      </c>
      <c r="W22" s="374">
        <f t="shared" si="25"/>
        <v>0</v>
      </c>
      <c r="Y22" s="374">
        <f>'ORÇAMENTO GERAL'!$J$23</f>
        <v>19.62</v>
      </c>
      <c r="Z22" s="374">
        <f>'ORÇAMENTO GERAL'!$J$24</f>
        <v>60.52</v>
      </c>
      <c r="AA22" s="374">
        <f>'ORÇAMENTO GERAL'!$J$25</f>
        <v>48.55</v>
      </c>
      <c r="AB22" s="374"/>
      <c r="AC22" s="374">
        <f t="shared" si="26"/>
        <v>0</v>
      </c>
      <c r="AE22" s="374">
        <f>'ORÇAMENTO GERAL'!$J$116</f>
        <v>21.58</v>
      </c>
      <c r="AF22" s="374">
        <f>'ORÇAMENTO GERAL'!$J$117</f>
        <v>3.65</v>
      </c>
      <c r="AG22" s="374">
        <f>'ORÇAMENTO GERAL'!$J$120</f>
        <v>3007.52</v>
      </c>
      <c r="AH22" s="374">
        <f>'ORÇAMENTO GERAL'!$J$121</f>
        <v>2.96</v>
      </c>
      <c r="AI22" s="374">
        <f>'ORÇAMENTO GERAL'!$J$122*0</f>
        <v>0</v>
      </c>
      <c r="AJ22" s="374">
        <f t="shared" si="27"/>
        <v>0</v>
      </c>
    </row>
    <row r="23" spans="1:114" ht="54.95" hidden="1" customHeight="1" thickBot="1" x14ac:dyDescent="0.45">
      <c r="A23" s="594">
        <v>11</v>
      </c>
      <c r="B23" s="600">
        <f>DADOS!B19</f>
        <v>0</v>
      </c>
      <c r="C23" s="595">
        <f>DADOS!E19</f>
        <v>0</v>
      </c>
      <c r="D23" s="596">
        <f>DADOS!F19</f>
        <v>0</v>
      </c>
      <c r="E23" s="596"/>
      <c r="F23" s="596">
        <f>C23*E23*$F$10</f>
        <v>0</v>
      </c>
      <c r="G23" s="596">
        <f>C23*E23*2</f>
        <v>0</v>
      </c>
      <c r="H23" s="596">
        <f>I23*0.43*0.1</f>
        <v>0</v>
      </c>
      <c r="I23" s="596">
        <f t="shared" si="17"/>
        <v>0</v>
      </c>
      <c r="J23" s="596"/>
      <c r="K23" s="596">
        <f t="shared" si="15"/>
        <v>0</v>
      </c>
      <c r="L23" s="596">
        <f t="shared" si="16"/>
        <v>0</v>
      </c>
      <c r="M23" s="649">
        <v>3.5000000000000003E-2</v>
      </c>
      <c r="N23" s="596">
        <f t="shared" si="6"/>
        <v>0</v>
      </c>
      <c r="O23" s="596">
        <f t="shared" si="7"/>
        <v>0</v>
      </c>
      <c r="P23" s="596">
        <f t="shared" si="8"/>
        <v>0</v>
      </c>
      <c r="Q23" s="610">
        <f t="shared" si="9"/>
        <v>0</v>
      </c>
      <c r="R23" s="317"/>
      <c r="S23" s="598">
        <f t="shared" ref="S23" si="28">A23</f>
        <v>11</v>
      </c>
      <c r="T23" s="374">
        <f>'ORÇAMENTO GERAL'!$J$18</f>
        <v>37.35</v>
      </c>
      <c r="U23" s="374">
        <f>'ORÇAMENTO GERAL'!$J$22</f>
        <v>115.89</v>
      </c>
      <c r="V23" s="374">
        <f>'ORÇAMENTO GERAL'!$J$19</f>
        <v>118.45</v>
      </c>
      <c r="W23" s="374">
        <f t="shared" si="25"/>
        <v>0</v>
      </c>
      <c r="X23" s="317"/>
      <c r="Y23" s="374">
        <f>'ORÇAMENTO GERAL'!$J$23</f>
        <v>19.62</v>
      </c>
      <c r="Z23" s="374">
        <f>'ORÇAMENTO GERAL'!$J$24</f>
        <v>60.52</v>
      </c>
      <c r="AA23" s="374">
        <f>'ORÇAMENTO GERAL'!$J$25</f>
        <v>48.55</v>
      </c>
      <c r="AB23" s="374"/>
      <c r="AC23" s="374">
        <f t="shared" si="26"/>
        <v>0</v>
      </c>
      <c r="AD23" s="317"/>
      <c r="AE23" s="374">
        <f>'ORÇAMENTO GERAL'!$J$116</f>
        <v>21.58</v>
      </c>
      <c r="AF23" s="374">
        <f>'ORÇAMENTO GERAL'!$J$117</f>
        <v>3.65</v>
      </c>
      <c r="AG23" s="374">
        <f>'ORÇAMENTO GERAL'!$J$120</f>
        <v>3007.52</v>
      </c>
      <c r="AH23" s="374">
        <f>'ORÇAMENTO GERAL'!$J$121</f>
        <v>2.96</v>
      </c>
      <c r="AI23" s="374">
        <f>'ORÇAMENTO GERAL'!$J$122*0</f>
        <v>0</v>
      </c>
      <c r="AJ23" s="374">
        <f>(K23*AE23)+(L23*AF23)+(N23*AG23)+(O23*AH23)+(P23*AI23)</f>
        <v>0</v>
      </c>
      <c r="AK23" s="317"/>
      <c r="AL23" s="317"/>
      <c r="AM23" s="317"/>
      <c r="AN23" s="317"/>
      <c r="AO23" s="317"/>
      <c r="AP23" s="317"/>
      <c r="AQ23" s="317"/>
      <c r="AR23" s="317"/>
      <c r="AS23" s="317"/>
      <c r="AT23" s="317"/>
      <c r="AU23" s="317"/>
      <c r="AV23" s="317"/>
      <c r="AW23" s="317"/>
      <c r="AX23" s="317"/>
      <c r="AY23" s="317"/>
      <c r="AZ23" s="317"/>
      <c r="BA23" s="317"/>
      <c r="BB23" s="317"/>
      <c r="BC23" s="317"/>
      <c r="BD23" s="317"/>
      <c r="BE23" s="317"/>
      <c r="BF23" s="317"/>
      <c r="BG23" s="317"/>
      <c r="BH23" s="317"/>
      <c r="BI23" s="317"/>
      <c r="BJ23" s="317"/>
      <c r="BK23" s="317"/>
      <c r="BL23" s="317"/>
      <c r="BM23" s="317"/>
      <c r="BN23" s="317"/>
      <c r="BO23" s="317"/>
      <c r="BP23" s="317"/>
      <c r="BQ23" s="317"/>
      <c r="BR23" s="317"/>
      <c r="BS23" s="317"/>
      <c r="BT23" s="317"/>
      <c r="BU23" s="317"/>
      <c r="BV23" s="317"/>
      <c r="BW23" s="317"/>
      <c r="BX23" s="317"/>
      <c r="BY23" s="317"/>
      <c r="BZ23" s="317"/>
      <c r="CA23" s="317"/>
      <c r="CB23" s="317"/>
      <c r="CC23" s="317"/>
      <c r="CD23" s="317"/>
      <c r="CE23" s="317"/>
      <c r="CF23" s="317"/>
      <c r="CG23" s="317"/>
      <c r="CH23" s="317"/>
      <c r="CI23" s="317"/>
      <c r="CJ23" s="317"/>
      <c r="CK23" s="317"/>
      <c r="CL23" s="317"/>
      <c r="CM23" s="317"/>
      <c r="CN23" s="317"/>
      <c r="CO23" s="317"/>
      <c r="CP23" s="317"/>
      <c r="CQ23" s="317"/>
      <c r="CR23" s="317"/>
      <c r="CS23" s="317"/>
      <c r="CT23" s="317"/>
      <c r="CU23" s="317"/>
      <c r="CV23" s="317"/>
      <c r="CW23" s="317"/>
      <c r="CX23" s="317"/>
      <c r="CY23" s="317"/>
      <c r="CZ23" s="317"/>
      <c r="DA23" s="317"/>
      <c r="DB23" s="317"/>
      <c r="DC23" s="317"/>
      <c r="DD23" s="317"/>
      <c r="DE23" s="317"/>
      <c r="DF23" s="317"/>
      <c r="DG23" s="317"/>
      <c r="DH23" s="317"/>
      <c r="DI23" s="317"/>
      <c r="DJ23" s="317"/>
    </row>
    <row r="24" spans="1:114" s="322" customFormat="1" ht="62.25" customHeight="1" thickBot="1" x14ac:dyDescent="0.25">
      <c r="A24" s="758" t="s">
        <v>397</v>
      </c>
      <c r="B24" s="759"/>
      <c r="C24" s="601">
        <f>SUM(C13:C23)</f>
        <v>675</v>
      </c>
      <c r="D24" s="601"/>
      <c r="E24" s="601"/>
      <c r="F24" s="602">
        <f t="shared" ref="F24:J24" si="29">SUM(F13:F23)</f>
        <v>0</v>
      </c>
      <c r="G24" s="602">
        <f t="shared" si="29"/>
        <v>0</v>
      </c>
      <c r="H24" s="602">
        <f t="shared" si="29"/>
        <v>58.05</v>
      </c>
      <c r="I24" s="602">
        <f>SUM(I13:I23)</f>
        <v>1350</v>
      </c>
      <c r="J24" s="602">
        <f t="shared" si="29"/>
        <v>0</v>
      </c>
      <c r="K24" s="602">
        <f>SUM(K13:K23)</f>
        <v>0</v>
      </c>
      <c r="L24" s="602">
        <f>SUM(L13:L23)</f>
        <v>0</v>
      </c>
      <c r="M24" s="650"/>
      <c r="N24" s="602">
        <f t="shared" ref="N24:Q24" si="30">SUM(N13:N23)</f>
        <v>0</v>
      </c>
      <c r="O24" s="602">
        <f t="shared" si="30"/>
        <v>0</v>
      </c>
      <c r="P24" s="602">
        <f>SUM(P13:P23)</f>
        <v>0</v>
      </c>
      <c r="Q24" s="602">
        <f t="shared" si="30"/>
        <v>1215</v>
      </c>
      <c r="BE24" s="321"/>
      <c r="BF24" s="321"/>
      <c r="BG24" s="321"/>
      <c r="BH24" s="321"/>
      <c r="BI24" s="321"/>
      <c r="BJ24" s="321"/>
      <c r="BK24" s="321"/>
      <c r="BL24" s="321"/>
      <c r="BM24" s="321"/>
      <c r="BN24" s="321"/>
      <c r="BO24" s="321"/>
      <c r="BP24" s="321"/>
      <c r="BQ24" s="321"/>
      <c r="BR24" s="321"/>
      <c r="BS24" s="321"/>
      <c r="BT24" s="321"/>
      <c r="BU24" s="321"/>
      <c r="BV24" s="321"/>
      <c r="BW24" s="321"/>
      <c r="BX24" s="321"/>
      <c r="BY24" s="321"/>
      <c r="BZ24" s="321"/>
      <c r="CA24" s="321"/>
      <c r="CB24" s="321"/>
      <c r="CC24" s="321"/>
      <c r="CD24" s="321"/>
      <c r="CE24" s="321"/>
      <c r="CF24" s="321"/>
      <c r="CG24" s="321"/>
      <c r="CH24" s="321"/>
      <c r="CI24" s="321"/>
      <c r="CJ24" s="321"/>
      <c r="CK24" s="321"/>
      <c r="CL24" s="321"/>
      <c r="CM24" s="321"/>
      <c r="CN24" s="321"/>
      <c r="CO24" s="321"/>
      <c r="CP24" s="321"/>
      <c r="CQ24" s="321"/>
      <c r="CR24" s="321"/>
      <c r="CS24" s="321"/>
      <c r="CT24" s="321"/>
      <c r="CU24" s="321"/>
      <c r="CV24" s="321"/>
      <c r="CW24" s="321"/>
      <c r="CX24" s="321"/>
      <c r="CY24" s="321"/>
      <c r="CZ24" s="321"/>
      <c r="DA24" s="321"/>
      <c r="DB24" s="321"/>
      <c r="DC24" s="321"/>
      <c r="DD24" s="321"/>
      <c r="DE24" s="321"/>
      <c r="DF24" s="321"/>
      <c r="DG24" s="321"/>
      <c r="DH24" s="321"/>
      <c r="DI24" s="321"/>
      <c r="DJ24" s="321"/>
    </row>
    <row r="25" spans="1:114" s="322" customFormat="1" ht="20.100000000000001" customHeight="1" x14ac:dyDescent="0.2">
      <c r="A25" s="321"/>
      <c r="B25" s="323"/>
      <c r="C25" s="323"/>
      <c r="D25" s="323"/>
      <c r="E25" s="323"/>
      <c r="F25" s="323"/>
      <c r="G25" s="323"/>
      <c r="H25" s="323"/>
      <c r="I25" s="323"/>
      <c r="J25" s="323"/>
      <c r="K25" s="323"/>
      <c r="L25" s="323"/>
      <c r="M25" s="651"/>
      <c r="N25" s="323"/>
      <c r="O25" s="323"/>
      <c r="P25" s="323"/>
      <c r="Q25" s="323"/>
      <c r="BE25" s="321"/>
      <c r="BF25" s="321"/>
      <c r="BG25" s="321"/>
      <c r="BH25" s="321"/>
      <c r="BI25" s="321"/>
      <c r="BJ25" s="321"/>
      <c r="BK25" s="321"/>
      <c r="BL25" s="321"/>
      <c r="BM25" s="321"/>
      <c r="BN25" s="321"/>
      <c r="BO25" s="321"/>
      <c r="BP25" s="321"/>
      <c r="BQ25" s="321"/>
      <c r="BR25" s="321"/>
      <c r="BS25" s="321"/>
      <c r="BT25" s="321"/>
      <c r="BU25" s="321"/>
      <c r="BV25" s="321"/>
      <c r="BW25" s="321"/>
      <c r="BX25" s="321"/>
      <c r="BY25" s="321"/>
      <c r="BZ25" s="321"/>
      <c r="CA25" s="321"/>
      <c r="CB25" s="321"/>
      <c r="CC25" s="321"/>
      <c r="CD25" s="321"/>
      <c r="CE25" s="321"/>
      <c r="CF25" s="321"/>
      <c r="CG25" s="321"/>
      <c r="CH25" s="321"/>
      <c r="CI25" s="321"/>
      <c r="CJ25" s="321"/>
      <c r="CK25" s="321"/>
      <c r="CL25" s="321"/>
      <c r="CM25" s="321"/>
      <c r="CN25" s="321"/>
      <c r="CO25" s="321"/>
      <c r="CP25" s="321"/>
      <c r="CQ25" s="321"/>
      <c r="CR25" s="321"/>
      <c r="CS25" s="321"/>
      <c r="CT25" s="321"/>
      <c r="CU25" s="321"/>
      <c r="CV25" s="321"/>
      <c r="CW25" s="321"/>
      <c r="CX25" s="321"/>
      <c r="CY25" s="321"/>
      <c r="CZ25" s="321"/>
      <c r="DA25" s="321"/>
      <c r="DB25" s="321"/>
      <c r="DC25" s="321"/>
      <c r="DD25" s="321"/>
      <c r="DE25" s="321"/>
      <c r="DF25" s="321"/>
      <c r="DG25" s="321"/>
      <c r="DH25" s="321"/>
      <c r="DI25" s="321"/>
      <c r="DJ25" s="321"/>
    </row>
    <row r="26" spans="1:114" s="322" customFormat="1" ht="20.100000000000001" customHeight="1" x14ac:dyDescent="0.2">
      <c r="A26" s="321"/>
      <c r="B26" s="323"/>
      <c r="C26" s="323"/>
      <c r="D26" s="323"/>
      <c r="E26" s="323"/>
      <c r="F26" s="323"/>
      <c r="G26" s="323"/>
      <c r="H26" s="323"/>
      <c r="I26" s="323"/>
      <c r="J26" s="323"/>
      <c r="K26" s="323"/>
      <c r="L26" s="323"/>
      <c r="M26" s="651"/>
      <c r="N26" s="323"/>
      <c r="O26" s="323"/>
      <c r="P26" s="323"/>
      <c r="Q26" s="323"/>
      <c r="BE26" s="321"/>
      <c r="BF26" s="321"/>
      <c r="BG26" s="321"/>
      <c r="BH26" s="321"/>
      <c r="BI26" s="321"/>
      <c r="BJ26" s="321"/>
      <c r="BK26" s="321"/>
      <c r="BL26" s="321"/>
      <c r="BM26" s="321"/>
      <c r="BN26" s="321"/>
      <c r="BO26" s="321"/>
      <c r="BP26" s="321"/>
      <c r="BQ26" s="321"/>
      <c r="BR26" s="321"/>
      <c r="BS26" s="321"/>
      <c r="BT26" s="321"/>
      <c r="BU26" s="321"/>
      <c r="BV26" s="321"/>
      <c r="BW26" s="321"/>
      <c r="BX26" s="321"/>
      <c r="BY26" s="321"/>
      <c r="BZ26" s="321"/>
      <c r="CA26" s="321"/>
      <c r="CB26" s="321"/>
      <c r="CC26" s="321"/>
      <c r="CD26" s="321"/>
      <c r="CE26" s="321"/>
      <c r="CF26" s="321"/>
      <c r="CG26" s="321"/>
      <c r="CH26" s="321"/>
      <c r="CI26" s="321"/>
      <c r="CJ26" s="321"/>
      <c r="CK26" s="321"/>
      <c r="CL26" s="321"/>
      <c r="CM26" s="321"/>
      <c r="CN26" s="321"/>
      <c r="CO26" s="321"/>
      <c r="CP26" s="321"/>
      <c r="CQ26" s="321"/>
      <c r="CR26" s="321"/>
      <c r="CS26" s="321"/>
      <c r="CT26" s="321"/>
      <c r="CU26" s="321"/>
      <c r="CV26" s="321"/>
      <c r="CW26" s="321"/>
      <c r="CX26" s="321"/>
      <c r="CY26" s="321"/>
      <c r="CZ26" s="321"/>
      <c r="DA26" s="321"/>
      <c r="DB26" s="321"/>
      <c r="DC26" s="321"/>
      <c r="DD26" s="321"/>
      <c r="DE26" s="321"/>
      <c r="DF26" s="321"/>
      <c r="DG26" s="321"/>
      <c r="DH26" s="321"/>
      <c r="DI26" s="321"/>
      <c r="DJ26" s="321"/>
    </row>
    <row r="27" spans="1:114" s="322" customFormat="1" ht="20.100000000000001" customHeight="1" x14ac:dyDescent="0.2">
      <c r="A27" s="321"/>
      <c r="B27" s="323"/>
      <c r="C27" s="323"/>
      <c r="D27" s="323"/>
      <c r="E27" s="323"/>
      <c r="F27" s="323"/>
      <c r="G27" s="323"/>
      <c r="H27" s="323"/>
      <c r="I27" s="323"/>
      <c r="J27" s="323"/>
      <c r="K27" s="323"/>
      <c r="L27" s="323"/>
      <c r="M27" s="651"/>
      <c r="N27" s="323"/>
      <c r="O27" s="323"/>
      <c r="P27" s="323"/>
      <c r="Q27" s="323"/>
      <c r="BE27" s="321"/>
      <c r="BF27" s="321"/>
      <c r="BG27" s="321"/>
      <c r="BH27" s="321"/>
      <c r="BI27" s="321"/>
      <c r="BJ27" s="321"/>
      <c r="BK27" s="321"/>
      <c r="BL27" s="321"/>
      <c r="BM27" s="321"/>
      <c r="BN27" s="321"/>
      <c r="BO27" s="321"/>
      <c r="BP27" s="321"/>
      <c r="BQ27" s="321"/>
      <c r="BR27" s="321"/>
      <c r="BS27" s="321"/>
      <c r="BT27" s="321"/>
      <c r="BU27" s="321"/>
      <c r="BV27" s="321"/>
      <c r="BW27" s="321"/>
      <c r="BX27" s="321"/>
      <c r="BY27" s="321"/>
      <c r="BZ27" s="321"/>
      <c r="CA27" s="321"/>
      <c r="CB27" s="321"/>
      <c r="CC27" s="321"/>
      <c r="CD27" s="321"/>
      <c r="CE27" s="321"/>
      <c r="CF27" s="321"/>
      <c r="CG27" s="321"/>
      <c r="CH27" s="321"/>
      <c r="CI27" s="321"/>
      <c r="CJ27" s="321"/>
      <c r="CK27" s="321"/>
      <c r="CL27" s="321"/>
      <c r="CM27" s="321"/>
      <c r="CN27" s="321"/>
      <c r="CO27" s="321"/>
      <c r="CP27" s="321"/>
      <c r="CQ27" s="321"/>
      <c r="CR27" s="321"/>
      <c r="CS27" s="321"/>
      <c r="CT27" s="321"/>
      <c r="CU27" s="321"/>
      <c r="CV27" s="321"/>
      <c r="CW27" s="321"/>
      <c r="CX27" s="321"/>
      <c r="CY27" s="321"/>
      <c r="CZ27" s="321"/>
      <c r="DA27" s="321"/>
      <c r="DB27" s="321"/>
      <c r="DC27" s="321"/>
      <c r="DD27" s="321"/>
      <c r="DE27" s="321"/>
      <c r="DF27" s="321"/>
      <c r="DG27" s="321"/>
      <c r="DH27" s="321"/>
      <c r="DI27" s="321"/>
      <c r="DJ27" s="321"/>
    </row>
    <row r="28" spans="1:114" s="322" customFormat="1" ht="20.100000000000001" customHeight="1" x14ac:dyDescent="0.2">
      <c r="A28" s="321"/>
      <c r="B28" s="323"/>
      <c r="C28" s="323"/>
      <c r="D28" s="323"/>
      <c r="E28" s="323"/>
      <c r="F28" s="323"/>
      <c r="G28" s="323"/>
      <c r="H28" s="323"/>
      <c r="I28" s="323"/>
      <c r="J28" s="323"/>
      <c r="K28" s="323"/>
      <c r="L28" s="323"/>
      <c r="M28" s="651"/>
      <c r="N28" s="323"/>
      <c r="O28" s="323"/>
      <c r="P28" s="323"/>
      <c r="Q28" s="323"/>
      <c r="BE28" s="321"/>
      <c r="BF28" s="321"/>
      <c r="BG28" s="321"/>
      <c r="BH28" s="321"/>
      <c r="BI28" s="321"/>
      <c r="BJ28" s="321"/>
      <c r="BK28" s="321"/>
      <c r="BL28" s="321"/>
      <c r="BM28" s="321"/>
      <c r="BN28" s="321"/>
      <c r="BO28" s="321"/>
      <c r="BP28" s="321"/>
      <c r="BQ28" s="321"/>
      <c r="BR28" s="321"/>
      <c r="BS28" s="321"/>
      <c r="BT28" s="321"/>
      <c r="BU28" s="321"/>
      <c r="BV28" s="321"/>
      <c r="BW28" s="321"/>
      <c r="BX28" s="321"/>
      <c r="BY28" s="321"/>
      <c r="BZ28" s="321"/>
      <c r="CA28" s="321"/>
      <c r="CB28" s="321"/>
      <c r="CC28" s="321"/>
      <c r="CD28" s="321"/>
      <c r="CE28" s="321"/>
      <c r="CF28" s="321"/>
      <c r="CG28" s="321"/>
      <c r="CH28" s="321"/>
      <c r="CI28" s="321"/>
      <c r="CJ28" s="321"/>
      <c r="CK28" s="321"/>
      <c r="CL28" s="321"/>
      <c r="CM28" s="321"/>
      <c r="CN28" s="321"/>
      <c r="CO28" s="321"/>
      <c r="CP28" s="321"/>
      <c r="CQ28" s="321"/>
      <c r="CR28" s="321"/>
      <c r="CS28" s="321"/>
      <c r="CT28" s="321"/>
      <c r="CU28" s="321"/>
      <c r="CV28" s="321"/>
      <c r="CW28" s="321"/>
      <c r="CX28" s="321"/>
      <c r="CY28" s="321"/>
      <c r="CZ28" s="321"/>
      <c r="DA28" s="321"/>
      <c r="DB28" s="321"/>
      <c r="DC28" s="321"/>
      <c r="DD28" s="321"/>
      <c r="DE28" s="321"/>
      <c r="DF28" s="321"/>
      <c r="DG28" s="321"/>
      <c r="DH28" s="321"/>
      <c r="DI28" s="321"/>
      <c r="DJ28" s="321"/>
    </row>
    <row r="29" spans="1:114" s="322" customFormat="1" ht="20.100000000000001" customHeight="1" x14ac:dyDescent="0.2">
      <c r="A29" s="321"/>
      <c r="B29" s="323"/>
      <c r="C29" s="323"/>
      <c r="D29" s="323"/>
      <c r="E29" s="323"/>
      <c r="F29" s="323"/>
      <c r="G29" s="323"/>
      <c r="H29" s="323"/>
      <c r="I29" s="323"/>
      <c r="J29" s="323"/>
      <c r="K29" s="323"/>
      <c r="L29" s="323"/>
      <c r="M29" s="651"/>
      <c r="N29" s="323"/>
      <c r="O29" s="323"/>
      <c r="P29" s="323"/>
      <c r="Q29" s="323"/>
      <c r="BE29" s="321"/>
      <c r="BF29" s="321"/>
      <c r="BG29" s="321"/>
      <c r="BH29" s="321"/>
      <c r="BI29" s="321"/>
      <c r="BJ29" s="321"/>
      <c r="BK29" s="321"/>
      <c r="BL29" s="321"/>
      <c r="BM29" s="321"/>
      <c r="BN29" s="321"/>
      <c r="BO29" s="321"/>
      <c r="BP29" s="321"/>
      <c r="BQ29" s="321"/>
      <c r="BR29" s="321"/>
      <c r="BS29" s="321"/>
      <c r="BT29" s="321"/>
      <c r="BU29" s="321"/>
      <c r="BV29" s="321"/>
      <c r="BW29" s="321"/>
      <c r="BX29" s="321"/>
      <c r="BY29" s="321"/>
      <c r="BZ29" s="321"/>
      <c r="CA29" s="321"/>
      <c r="CB29" s="321"/>
      <c r="CC29" s="321"/>
      <c r="CD29" s="321"/>
      <c r="CE29" s="321"/>
      <c r="CF29" s="321"/>
      <c r="CG29" s="321"/>
      <c r="CH29" s="321"/>
      <c r="CI29" s="321"/>
      <c r="CJ29" s="321"/>
      <c r="CK29" s="321"/>
      <c r="CL29" s="321"/>
      <c r="CM29" s="321"/>
      <c r="CN29" s="321"/>
      <c r="CO29" s="321"/>
      <c r="CP29" s="321"/>
      <c r="CQ29" s="321"/>
      <c r="CR29" s="321"/>
      <c r="CS29" s="321"/>
      <c r="CT29" s="321"/>
      <c r="CU29" s="321"/>
      <c r="CV29" s="321"/>
      <c r="CW29" s="321"/>
      <c r="CX29" s="321"/>
      <c r="CY29" s="321"/>
      <c r="CZ29" s="321"/>
      <c r="DA29" s="321"/>
      <c r="DB29" s="321"/>
      <c r="DC29" s="321"/>
      <c r="DD29" s="321"/>
      <c r="DE29" s="321"/>
      <c r="DF29" s="321"/>
      <c r="DG29" s="321"/>
      <c r="DH29" s="321"/>
      <c r="DI29" s="321"/>
      <c r="DJ29" s="321"/>
    </row>
    <row r="30" spans="1:114" s="322" customFormat="1" ht="20.100000000000001" customHeight="1" x14ac:dyDescent="0.2">
      <c r="A30" s="321"/>
      <c r="B30" s="323"/>
      <c r="C30" s="323"/>
      <c r="D30" s="323"/>
      <c r="E30" s="323"/>
      <c r="F30" s="323"/>
      <c r="G30" s="323"/>
      <c r="H30" s="323"/>
      <c r="I30" s="323"/>
      <c r="J30" s="323"/>
      <c r="K30" s="323"/>
      <c r="L30" s="323"/>
      <c r="M30" s="651"/>
      <c r="N30" s="323"/>
      <c r="O30" s="323"/>
      <c r="P30" s="323"/>
      <c r="Q30" s="323"/>
      <c r="BE30" s="321"/>
      <c r="BF30" s="321"/>
      <c r="BG30" s="321"/>
      <c r="BH30" s="321"/>
      <c r="BI30" s="321"/>
      <c r="BJ30" s="321"/>
      <c r="BK30" s="321"/>
      <c r="BL30" s="321"/>
      <c r="BM30" s="321"/>
      <c r="BN30" s="321"/>
      <c r="BO30" s="321"/>
      <c r="BP30" s="321"/>
      <c r="BQ30" s="321"/>
      <c r="BR30" s="321"/>
      <c r="BS30" s="321"/>
      <c r="BT30" s="321"/>
      <c r="BU30" s="321"/>
      <c r="BV30" s="321"/>
      <c r="BW30" s="321"/>
      <c r="BX30" s="321"/>
      <c r="BY30" s="321"/>
      <c r="BZ30" s="321"/>
      <c r="CA30" s="321"/>
      <c r="CB30" s="321"/>
      <c r="CC30" s="321"/>
      <c r="CD30" s="321"/>
      <c r="CE30" s="321"/>
      <c r="CF30" s="321"/>
      <c r="CG30" s="321"/>
      <c r="CH30" s="321"/>
      <c r="CI30" s="321"/>
      <c r="CJ30" s="321"/>
      <c r="CK30" s="321"/>
      <c r="CL30" s="321"/>
      <c r="CM30" s="321"/>
      <c r="CN30" s="321"/>
      <c r="CO30" s="321"/>
      <c r="CP30" s="321"/>
      <c r="CQ30" s="321"/>
      <c r="CR30" s="321"/>
      <c r="CS30" s="321"/>
      <c r="CT30" s="321"/>
      <c r="CU30" s="321"/>
      <c r="CV30" s="321"/>
      <c r="CW30" s="321"/>
      <c r="CX30" s="321"/>
      <c r="CY30" s="321"/>
      <c r="CZ30" s="321"/>
      <c r="DA30" s="321"/>
      <c r="DB30" s="321"/>
      <c r="DC30" s="321"/>
      <c r="DD30" s="321"/>
      <c r="DE30" s="321"/>
      <c r="DF30" s="321"/>
      <c r="DG30" s="321"/>
      <c r="DH30" s="321"/>
      <c r="DI30" s="321"/>
      <c r="DJ30" s="321"/>
    </row>
    <row r="31" spans="1:114" s="322" customFormat="1" ht="20.100000000000001" customHeight="1" x14ac:dyDescent="0.2">
      <c r="A31" s="321"/>
      <c r="B31" s="323"/>
      <c r="C31" s="323"/>
      <c r="D31" s="323"/>
      <c r="E31" s="323"/>
      <c r="F31" s="323"/>
      <c r="G31" s="323"/>
      <c r="H31" s="323"/>
      <c r="I31" s="323"/>
      <c r="J31" s="323"/>
      <c r="K31" s="323"/>
      <c r="L31" s="323"/>
      <c r="M31" s="651"/>
      <c r="N31" s="323"/>
      <c r="O31" s="323"/>
      <c r="P31" s="323"/>
      <c r="Q31" s="323"/>
      <c r="BE31" s="321"/>
      <c r="BF31" s="321"/>
      <c r="BG31" s="321"/>
      <c r="BH31" s="321"/>
      <c r="BI31" s="321"/>
      <c r="BJ31" s="321"/>
      <c r="BK31" s="321"/>
      <c r="BL31" s="321"/>
      <c r="BM31" s="321"/>
      <c r="BN31" s="321"/>
      <c r="BO31" s="321"/>
      <c r="BP31" s="321"/>
      <c r="BQ31" s="321"/>
      <c r="BR31" s="321"/>
      <c r="BS31" s="321"/>
      <c r="BT31" s="321"/>
      <c r="BU31" s="321"/>
      <c r="BV31" s="321"/>
      <c r="BW31" s="321"/>
      <c r="BX31" s="321"/>
      <c r="BY31" s="321"/>
      <c r="BZ31" s="321"/>
      <c r="CA31" s="321"/>
      <c r="CB31" s="321"/>
      <c r="CC31" s="321"/>
      <c r="CD31" s="321"/>
      <c r="CE31" s="321"/>
      <c r="CF31" s="321"/>
      <c r="CG31" s="321"/>
      <c r="CH31" s="321"/>
      <c r="CI31" s="321"/>
      <c r="CJ31" s="321"/>
      <c r="CK31" s="321"/>
      <c r="CL31" s="321"/>
      <c r="CM31" s="321"/>
      <c r="CN31" s="321"/>
      <c r="CO31" s="321"/>
      <c r="CP31" s="321"/>
      <c r="CQ31" s="321"/>
      <c r="CR31" s="321"/>
      <c r="CS31" s="321"/>
      <c r="CT31" s="321"/>
      <c r="CU31" s="321"/>
      <c r="CV31" s="321"/>
      <c r="CW31" s="321"/>
      <c r="CX31" s="321"/>
      <c r="CY31" s="321"/>
      <c r="CZ31" s="321"/>
      <c r="DA31" s="321"/>
      <c r="DB31" s="321"/>
      <c r="DC31" s="321"/>
      <c r="DD31" s="321"/>
      <c r="DE31" s="321"/>
      <c r="DF31" s="321"/>
      <c r="DG31" s="321"/>
      <c r="DH31" s="321"/>
      <c r="DI31" s="321"/>
      <c r="DJ31" s="321"/>
    </row>
    <row r="32" spans="1:114" s="322" customFormat="1" ht="20.100000000000001" customHeight="1" x14ac:dyDescent="0.2">
      <c r="A32" s="321"/>
      <c r="B32" s="323"/>
      <c r="C32" s="323"/>
      <c r="D32" s="323"/>
      <c r="E32" s="323"/>
      <c r="F32" s="323"/>
      <c r="G32" s="323"/>
      <c r="H32" s="323"/>
      <c r="I32" s="323"/>
      <c r="J32" s="323"/>
      <c r="K32" s="323"/>
      <c r="L32" s="323"/>
      <c r="M32" s="651"/>
      <c r="N32" s="323"/>
      <c r="O32" s="323"/>
      <c r="P32" s="323"/>
      <c r="Q32" s="323"/>
      <c r="BE32" s="321"/>
      <c r="BF32" s="321"/>
      <c r="BG32" s="321"/>
      <c r="BH32" s="321"/>
      <c r="BI32" s="321"/>
      <c r="BJ32" s="321"/>
      <c r="BK32" s="321"/>
      <c r="BL32" s="321"/>
      <c r="BM32" s="321"/>
      <c r="BN32" s="321"/>
      <c r="BO32" s="321"/>
      <c r="BP32" s="321"/>
      <c r="BQ32" s="321"/>
      <c r="BR32" s="321"/>
      <c r="BS32" s="321"/>
      <c r="BT32" s="321"/>
      <c r="BU32" s="321"/>
      <c r="BV32" s="321"/>
      <c r="BW32" s="321"/>
      <c r="BX32" s="321"/>
      <c r="BY32" s="321"/>
      <c r="BZ32" s="321"/>
      <c r="CA32" s="321"/>
      <c r="CB32" s="321"/>
      <c r="CC32" s="321"/>
      <c r="CD32" s="321"/>
      <c r="CE32" s="321"/>
      <c r="CF32" s="321"/>
      <c r="CG32" s="321"/>
      <c r="CH32" s="321"/>
      <c r="CI32" s="321"/>
      <c r="CJ32" s="321"/>
      <c r="CK32" s="321"/>
      <c r="CL32" s="321"/>
      <c r="CM32" s="321"/>
      <c r="CN32" s="321"/>
      <c r="CO32" s="321"/>
      <c r="CP32" s="321"/>
      <c r="CQ32" s="321"/>
      <c r="CR32" s="321"/>
      <c r="CS32" s="321"/>
      <c r="CT32" s="321"/>
      <c r="CU32" s="321"/>
      <c r="CV32" s="321"/>
      <c r="CW32" s="321"/>
      <c r="CX32" s="321"/>
      <c r="CY32" s="321"/>
      <c r="CZ32" s="321"/>
      <c r="DA32" s="321"/>
      <c r="DB32" s="321"/>
      <c r="DC32" s="321"/>
      <c r="DD32" s="321"/>
      <c r="DE32" s="321"/>
      <c r="DF32" s="321"/>
      <c r="DG32" s="321"/>
      <c r="DH32" s="321"/>
      <c r="DI32" s="321"/>
      <c r="DJ32" s="321"/>
    </row>
    <row r="33" spans="1:114" s="322" customFormat="1" ht="20.100000000000001" customHeight="1" x14ac:dyDescent="0.2">
      <c r="A33" s="321"/>
      <c r="B33" s="323"/>
      <c r="C33" s="323"/>
      <c r="D33" s="323"/>
      <c r="E33" s="323"/>
      <c r="F33" s="323"/>
      <c r="G33" s="323"/>
      <c r="H33" s="323"/>
      <c r="I33" s="323"/>
      <c r="J33" s="323"/>
      <c r="K33" s="323"/>
      <c r="L33" s="323"/>
      <c r="M33" s="651"/>
      <c r="N33" s="323"/>
      <c r="O33" s="323"/>
      <c r="P33" s="323"/>
      <c r="Q33" s="323"/>
      <c r="BE33" s="321"/>
      <c r="BF33" s="321"/>
      <c r="BG33" s="321"/>
      <c r="BH33" s="321"/>
      <c r="BI33" s="321"/>
      <c r="BJ33" s="321"/>
      <c r="BK33" s="321"/>
      <c r="BL33" s="321"/>
      <c r="BM33" s="321"/>
      <c r="BN33" s="321"/>
      <c r="BO33" s="321"/>
      <c r="BP33" s="321"/>
      <c r="BQ33" s="321"/>
      <c r="BR33" s="321"/>
      <c r="BS33" s="321"/>
      <c r="BT33" s="321"/>
      <c r="BU33" s="321"/>
      <c r="BV33" s="321"/>
      <c r="BW33" s="321"/>
      <c r="BX33" s="321"/>
      <c r="BY33" s="321"/>
      <c r="BZ33" s="321"/>
      <c r="CA33" s="321"/>
      <c r="CB33" s="321"/>
      <c r="CC33" s="321"/>
      <c r="CD33" s="321"/>
      <c r="CE33" s="321"/>
      <c r="CF33" s="321"/>
      <c r="CG33" s="321"/>
      <c r="CH33" s="321"/>
      <c r="CI33" s="321"/>
      <c r="CJ33" s="321"/>
      <c r="CK33" s="321"/>
      <c r="CL33" s="321"/>
      <c r="CM33" s="321"/>
      <c r="CN33" s="321"/>
      <c r="CO33" s="321"/>
      <c r="CP33" s="321"/>
      <c r="CQ33" s="321"/>
      <c r="CR33" s="321"/>
      <c r="CS33" s="321"/>
      <c r="CT33" s="321"/>
      <c r="CU33" s="321"/>
      <c r="CV33" s="321"/>
      <c r="CW33" s="321"/>
      <c r="CX33" s="321"/>
      <c r="CY33" s="321"/>
      <c r="CZ33" s="321"/>
      <c r="DA33" s="321"/>
      <c r="DB33" s="321"/>
      <c r="DC33" s="321"/>
      <c r="DD33" s="321"/>
      <c r="DE33" s="321"/>
      <c r="DF33" s="321"/>
      <c r="DG33" s="321"/>
      <c r="DH33" s="321"/>
      <c r="DI33" s="321"/>
      <c r="DJ33" s="321"/>
    </row>
    <row r="34" spans="1:114" s="322" customFormat="1" ht="20.100000000000001" customHeight="1" x14ac:dyDescent="0.2">
      <c r="A34" s="321"/>
      <c r="B34" s="323"/>
      <c r="C34" s="323"/>
      <c r="D34" s="323"/>
      <c r="E34" s="323"/>
      <c r="F34" s="323"/>
      <c r="G34" s="323"/>
      <c r="H34" s="323"/>
      <c r="I34" s="323"/>
      <c r="J34" s="323"/>
      <c r="K34" s="323"/>
      <c r="L34" s="323"/>
      <c r="M34" s="651"/>
      <c r="N34" s="323"/>
      <c r="O34" s="323"/>
      <c r="P34" s="323"/>
      <c r="Q34" s="323"/>
      <c r="BE34" s="321"/>
      <c r="BF34" s="321"/>
      <c r="BG34" s="321"/>
      <c r="BH34" s="321"/>
      <c r="BI34" s="321"/>
      <c r="BJ34" s="321"/>
      <c r="BK34" s="321"/>
      <c r="BL34" s="321"/>
      <c r="BM34" s="321"/>
      <c r="BN34" s="321"/>
      <c r="BO34" s="321"/>
      <c r="BP34" s="321"/>
      <c r="BQ34" s="321"/>
      <c r="BR34" s="321"/>
      <c r="BS34" s="321"/>
      <c r="BT34" s="321"/>
      <c r="BU34" s="321"/>
      <c r="BV34" s="321"/>
      <c r="BW34" s="321"/>
      <c r="BX34" s="321"/>
      <c r="BY34" s="321"/>
      <c r="BZ34" s="321"/>
      <c r="CA34" s="321"/>
      <c r="CB34" s="321"/>
      <c r="CC34" s="321"/>
      <c r="CD34" s="321"/>
      <c r="CE34" s="321"/>
      <c r="CF34" s="321"/>
      <c r="CG34" s="321"/>
      <c r="CH34" s="321"/>
      <c r="CI34" s="321"/>
      <c r="CJ34" s="321"/>
      <c r="CK34" s="321"/>
      <c r="CL34" s="321"/>
      <c r="CM34" s="321"/>
      <c r="CN34" s="321"/>
      <c r="CO34" s="321"/>
      <c r="CP34" s="321"/>
      <c r="CQ34" s="321"/>
      <c r="CR34" s="321"/>
      <c r="CS34" s="321"/>
      <c r="CT34" s="321"/>
      <c r="CU34" s="321"/>
      <c r="CV34" s="321"/>
      <c r="CW34" s="321"/>
      <c r="CX34" s="321"/>
      <c r="CY34" s="321"/>
      <c r="CZ34" s="321"/>
      <c r="DA34" s="321"/>
      <c r="DB34" s="321"/>
      <c r="DC34" s="321"/>
      <c r="DD34" s="321"/>
      <c r="DE34" s="321"/>
      <c r="DF34" s="321"/>
      <c r="DG34" s="321"/>
      <c r="DH34" s="321"/>
      <c r="DI34" s="321"/>
      <c r="DJ34" s="321"/>
    </row>
    <row r="35" spans="1:114" s="322" customFormat="1" ht="20.100000000000001" customHeight="1" x14ac:dyDescent="0.2">
      <c r="A35" s="321"/>
      <c r="B35" s="323"/>
      <c r="C35" s="323"/>
      <c r="D35" s="323"/>
      <c r="E35" s="323"/>
      <c r="F35" s="323"/>
      <c r="G35" s="323"/>
      <c r="H35" s="323"/>
      <c r="I35" s="323"/>
      <c r="J35" s="323"/>
      <c r="K35" s="323"/>
      <c r="L35" s="323"/>
      <c r="M35" s="651"/>
      <c r="N35" s="323"/>
      <c r="O35" s="323"/>
      <c r="P35" s="323"/>
      <c r="Q35" s="323"/>
      <c r="BE35" s="321"/>
      <c r="BF35" s="321"/>
      <c r="BG35" s="321"/>
      <c r="BH35" s="321"/>
      <c r="BI35" s="321"/>
      <c r="BJ35" s="321"/>
      <c r="BK35" s="321"/>
      <c r="BL35" s="321"/>
      <c r="BM35" s="321"/>
      <c r="BN35" s="321"/>
      <c r="BO35" s="321"/>
      <c r="BP35" s="321"/>
      <c r="BQ35" s="321"/>
      <c r="BR35" s="321"/>
      <c r="BS35" s="321"/>
      <c r="BT35" s="321"/>
      <c r="BU35" s="321"/>
      <c r="BV35" s="321"/>
      <c r="BW35" s="321"/>
      <c r="BX35" s="321"/>
      <c r="BY35" s="321"/>
      <c r="BZ35" s="321"/>
      <c r="CA35" s="321"/>
      <c r="CB35" s="321"/>
      <c r="CC35" s="321"/>
      <c r="CD35" s="321"/>
      <c r="CE35" s="321"/>
      <c r="CF35" s="321"/>
      <c r="CG35" s="321"/>
      <c r="CH35" s="321"/>
      <c r="CI35" s="321"/>
      <c r="CJ35" s="321"/>
      <c r="CK35" s="321"/>
      <c r="CL35" s="321"/>
      <c r="CM35" s="321"/>
      <c r="CN35" s="321"/>
      <c r="CO35" s="321"/>
      <c r="CP35" s="321"/>
      <c r="CQ35" s="321"/>
      <c r="CR35" s="321"/>
      <c r="CS35" s="321"/>
      <c r="CT35" s="321"/>
      <c r="CU35" s="321"/>
      <c r="CV35" s="321"/>
      <c r="CW35" s="321"/>
      <c r="CX35" s="321"/>
      <c r="CY35" s="321"/>
      <c r="CZ35" s="321"/>
      <c r="DA35" s="321"/>
      <c r="DB35" s="321"/>
      <c r="DC35" s="321"/>
      <c r="DD35" s="321"/>
      <c r="DE35" s="321"/>
      <c r="DF35" s="321"/>
      <c r="DG35" s="321"/>
      <c r="DH35" s="321"/>
      <c r="DI35" s="321"/>
      <c r="DJ35" s="321"/>
    </row>
    <row r="36" spans="1:114" s="322" customFormat="1" ht="20.100000000000001" customHeight="1" x14ac:dyDescent="0.2">
      <c r="A36" s="321"/>
      <c r="B36" s="323"/>
      <c r="C36" s="323"/>
      <c r="D36" s="323"/>
      <c r="E36" s="323"/>
      <c r="F36" s="323"/>
      <c r="G36" s="323"/>
      <c r="H36" s="323"/>
      <c r="I36" s="323"/>
      <c r="J36" s="323"/>
      <c r="K36" s="323"/>
      <c r="L36" s="323"/>
      <c r="M36" s="651"/>
      <c r="N36" s="323"/>
      <c r="O36" s="323"/>
      <c r="P36" s="323"/>
      <c r="Q36" s="323"/>
      <c r="BE36" s="321"/>
      <c r="BF36" s="321"/>
      <c r="BG36" s="321"/>
      <c r="BH36" s="321"/>
      <c r="BI36" s="321"/>
      <c r="BJ36" s="321"/>
      <c r="BK36" s="321"/>
      <c r="BL36" s="321"/>
      <c r="BM36" s="321"/>
      <c r="BN36" s="321"/>
      <c r="BO36" s="321"/>
      <c r="BP36" s="321"/>
      <c r="BQ36" s="321"/>
      <c r="BR36" s="321"/>
      <c r="BS36" s="321"/>
      <c r="BT36" s="321"/>
      <c r="BU36" s="321"/>
      <c r="BV36" s="321"/>
      <c r="BW36" s="321"/>
      <c r="BX36" s="321"/>
      <c r="BY36" s="321"/>
      <c r="BZ36" s="321"/>
      <c r="CA36" s="321"/>
      <c r="CB36" s="321"/>
      <c r="CC36" s="321"/>
      <c r="CD36" s="321"/>
      <c r="CE36" s="321"/>
      <c r="CF36" s="321"/>
      <c r="CG36" s="321"/>
      <c r="CH36" s="321"/>
      <c r="CI36" s="321"/>
      <c r="CJ36" s="321"/>
      <c r="CK36" s="321"/>
      <c r="CL36" s="321"/>
      <c r="CM36" s="321"/>
      <c r="CN36" s="321"/>
      <c r="CO36" s="321"/>
      <c r="CP36" s="321"/>
      <c r="CQ36" s="321"/>
      <c r="CR36" s="321"/>
      <c r="CS36" s="321"/>
      <c r="CT36" s="321"/>
      <c r="CU36" s="321"/>
      <c r="CV36" s="321"/>
      <c r="CW36" s="321"/>
      <c r="CX36" s="321"/>
      <c r="CY36" s="321"/>
      <c r="CZ36" s="321"/>
      <c r="DA36" s="321"/>
      <c r="DB36" s="321"/>
      <c r="DC36" s="321"/>
      <c r="DD36" s="321"/>
      <c r="DE36" s="321"/>
      <c r="DF36" s="321"/>
      <c r="DG36" s="321"/>
      <c r="DH36" s="321"/>
      <c r="DI36" s="321"/>
      <c r="DJ36" s="321"/>
    </row>
    <row r="37" spans="1:114" s="322" customFormat="1" ht="20.100000000000001" customHeight="1" x14ac:dyDescent="0.2">
      <c r="A37" s="321"/>
      <c r="B37" s="323"/>
      <c r="C37" s="323"/>
      <c r="D37" s="323"/>
      <c r="E37" s="323"/>
      <c r="F37" s="323"/>
      <c r="G37" s="323"/>
      <c r="H37" s="323"/>
      <c r="I37" s="323"/>
      <c r="J37" s="323"/>
      <c r="K37" s="323"/>
      <c r="L37" s="323"/>
      <c r="M37" s="651"/>
      <c r="N37" s="323"/>
      <c r="O37" s="323"/>
      <c r="P37" s="323"/>
      <c r="Q37" s="323"/>
      <c r="BE37" s="321"/>
      <c r="BF37" s="321"/>
      <c r="BG37" s="321"/>
      <c r="BH37" s="321"/>
      <c r="BI37" s="321"/>
      <c r="BJ37" s="321"/>
      <c r="BK37" s="321"/>
      <c r="BL37" s="321"/>
      <c r="BM37" s="321"/>
      <c r="BN37" s="321"/>
      <c r="BO37" s="321"/>
      <c r="BP37" s="321"/>
      <c r="BQ37" s="321"/>
      <c r="BR37" s="321"/>
      <c r="BS37" s="321"/>
      <c r="BT37" s="321"/>
      <c r="BU37" s="321"/>
      <c r="BV37" s="321"/>
      <c r="BW37" s="321"/>
      <c r="BX37" s="321"/>
      <c r="BY37" s="321"/>
      <c r="BZ37" s="321"/>
      <c r="CA37" s="321"/>
      <c r="CB37" s="321"/>
      <c r="CC37" s="321"/>
      <c r="CD37" s="321"/>
      <c r="CE37" s="321"/>
      <c r="CF37" s="321"/>
      <c r="CG37" s="321"/>
      <c r="CH37" s="321"/>
      <c r="CI37" s="321"/>
      <c r="CJ37" s="321"/>
      <c r="CK37" s="321"/>
      <c r="CL37" s="321"/>
      <c r="CM37" s="321"/>
      <c r="CN37" s="321"/>
      <c r="CO37" s="321"/>
      <c r="CP37" s="321"/>
      <c r="CQ37" s="321"/>
      <c r="CR37" s="321"/>
      <c r="CS37" s="321"/>
      <c r="CT37" s="321"/>
      <c r="CU37" s="321"/>
      <c r="CV37" s="321"/>
      <c r="CW37" s="321"/>
      <c r="CX37" s="321"/>
      <c r="CY37" s="321"/>
      <c r="CZ37" s="321"/>
      <c r="DA37" s="321"/>
      <c r="DB37" s="321"/>
      <c r="DC37" s="321"/>
      <c r="DD37" s="321"/>
      <c r="DE37" s="321"/>
      <c r="DF37" s="321"/>
      <c r="DG37" s="321"/>
      <c r="DH37" s="321"/>
      <c r="DI37" s="321"/>
      <c r="DJ37" s="321"/>
    </row>
    <row r="38" spans="1:114" s="322" customFormat="1" ht="20.100000000000001" customHeight="1" x14ac:dyDescent="0.2">
      <c r="A38" s="321"/>
      <c r="B38" s="323"/>
      <c r="C38" s="323"/>
      <c r="D38" s="323"/>
      <c r="E38" s="323"/>
      <c r="F38" s="323"/>
      <c r="G38" s="323"/>
      <c r="H38" s="323"/>
      <c r="I38" s="323"/>
      <c r="J38" s="323"/>
      <c r="K38" s="323"/>
      <c r="L38" s="323"/>
      <c r="M38" s="651"/>
      <c r="N38" s="323"/>
      <c r="O38" s="323"/>
      <c r="P38" s="323"/>
      <c r="Q38" s="323"/>
      <c r="BE38" s="321"/>
      <c r="BF38" s="321"/>
      <c r="BG38" s="321"/>
      <c r="BH38" s="321"/>
      <c r="BI38" s="321"/>
      <c r="BJ38" s="321"/>
      <c r="BK38" s="321"/>
      <c r="BL38" s="321"/>
      <c r="BM38" s="321"/>
      <c r="BN38" s="321"/>
      <c r="BO38" s="321"/>
      <c r="BP38" s="321"/>
      <c r="BQ38" s="321"/>
      <c r="BR38" s="321"/>
      <c r="BS38" s="321"/>
      <c r="BT38" s="321"/>
      <c r="BU38" s="321"/>
      <c r="BV38" s="321"/>
      <c r="BW38" s="321"/>
      <c r="BX38" s="321"/>
      <c r="BY38" s="321"/>
      <c r="BZ38" s="321"/>
      <c r="CA38" s="321"/>
      <c r="CB38" s="321"/>
      <c r="CC38" s="321"/>
      <c r="CD38" s="321"/>
      <c r="CE38" s="321"/>
      <c r="CF38" s="321"/>
      <c r="CG38" s="321"/>
      <c r="CH38" s="321"/>
      <c r="CI38" s="321"/>
      <c r="CJ38" s="321"/>
      <c r="CK38" s="321"/>
      <c r="CL38" s="321"/>
      <c r="CM38" s="321"/>
      <c r="CN38" s="321"/>
      <c r="CO38" s="321"/>
      <c r="CP38" s="321"/>
      <c r="CQ38" s="321"/>
      <c r="CR38" s="321"/>
      <c r="CS38" s="321"/>
      <c r="CT38" s="321"/>
      <c r="CU38" s="321"/>
      <c r="CV38" s="321"/>
      <c r="CW38" s="321"/>
      <c r="CX38" s="321"/>
      <c r="CY38" s="321"/>
      <c r="CZ38" s="321"/>
      <c r="DA38" s="321"/>
      <c r="DB38" s="321"/>
      <c r="DC38" s="321"/>
      <c r="DD38" s="321"/>
      <c r="DE38" s="321"/>
      <c r="DF38" s="321"/>
      <c r="DG38" s="321"/>
      <c r="DH38" s="321"/>
      <c r="DI38" s="321"/>
      <c r="DJ38" s="321"/>
    </row>
    <row r="39" spans="1:114" s="322" customFormat="1" ht="20.100000000000001" customHeight="1" x14ac:dyDescent="0.2">
      <c r="A39" s="321"/>
      <c r="B39" s="323"/>
      <c r="C39" s="323"/>
      <c r="D39" s="323"/>
      <c r="E39" s="323"/>
      <c r="F39" s="323"/>
      <c r="G39" s="323"/>
      <c r="H39" s="323"/>
      <c r="I39" s="323"/>
      <c r="J39" s="323"/>
      <c r="K39" s="323"/>
      <c r="L39" s="323"/>
      <c r="M39" s="651"/>
      <c r="N39" s="323"/>
      <c r="O39" s="323"/>
      <c r="P39" s="323"/>
      <c r="Q39" s="323"/>
      <c r="BE39" s="321"/>
      <c r="BF39" s="321"/>
      <c r="BG39" s="321"/>
      <c r="BH39" s="321"/>
      <c r="BI39" s="321"/>
      <c r="BJ39" s="321"/>
      <c r="BK39" s="321"/>
      <c r="BL39" s="321"/>
      <c r="BM39" s="321"/>
      <c r="BN39" s="321"/>
      <c r="BO39" s="321"/>
      <c r="BP39" s="321"/>
      <c r="BQ39" s="321"/>
      <c r="BR39" s="321"/>
      <c r="BS39" s="321"/>
      <c r="BT39" s="321"/>
      <c r="BU39" s="321"/>
      <c r="BV39" s="321"/>
      <c r="BW39" s="321"/>
      <c r="BX39" s="321"/>
      <c r="BY39" s="321"/>
      <c r="BZ39" s="321"/>
      <c r="CA39" s="321"/>
      <c r="CB39" s="321"/>
      <c r="CC39" s="321"/>
      <c r="CD39" s="321"/>
      <c r="CE39" s="321"/>
      <c r="CF39" s="321"/>
      <c r="CG39" s="321"/>
      <c r="CH39" s="321"/>
      <c r="CI39" s="321"/>
      <c r="CJ39" s="321"/>
      <c r="CK39" s="321"/>
      <c r="CL39" s="321"/>
      <c r="CM39" s="321"/>
      <c r="CN39" s="321"/>
      <c r="CO39" s="321"/>
      <c r="CP39" s="321"/>
      <c r="CQ39" s="321"/>
      <c r="CR39" s="321"/>
      <c r="CS39" s="321"/>
      <c r="CT39" s="321"/>
      <c r="CU39" s="321"/>
      <c r="CV39" s="321"/>
      <c r="CW39" s="321"/>
      <c r="CX39" s="321"/>
      <c r="CY39" s="321"/>
      <c r="CZ39" s="321"/>
      <c r="DA39" s="321"/>
      <c r="DB39" s="321"/>
      <c r="DC39" s="321"/>
      <c r="DD39" s="321"/>
      <c r="DE39" s="321"/>
      <c r="DF39" s="321"/>
      <c r="DG39" s="321"/>
      <c r="DH39" s="321"/>
      <c r="DI39" s="321"/>
      <c r="DJ39" s="321"/>
    </row>
    <row r="40" spans="1:114" s="322" customFormat="1" ht="20.100000000000001" customHeight="1" x14ac:dyDescent="0.2">
      <c r="A40" s="321"/>
      <c r="B40" s="323"/>
      <c r="C40" s="323"/>
      <c r="D40" s="323"/>
      <c r="E40" s="323"/>
      <c r="F40" s="323"/>
      <c r="G40" s="323"/>
      <c r="H40" s="323"/>
      <c r="I40" s="323"/>
      <c r="J40" s="323"/>
      <c r="K40" s="323"/>
      <c r="L40" s="323"/>
      <c r="M40" s="651"/>
      <c r="N40" s="323"/>
      <c r="O40" s="323"/>
      <c r="P40" s="323"/>
      <c r="Q40" s="323"/>
      <c r="BE40" s="321"/>
      <c r="BF40" s="321"/>
      <c r="BG40" s="321"/>
      <c r="BH40" s="321"/>
      <c r="BI40" s="321"/>
      <c r="BJ40" s="321"/>
      <c r="BK40" s="321"/>
      <c r="BL40" s="321"/>
      <c r="BM40" s="321"/>
      <c r="BN40" s="321"/>
      <c r="BO40" s="321"/>
      <c r="BP40" s="321"/>
      <c r="BQ40" s="321"/>
      <c r="BR40" s="321"/>
      <c r="BS40" s="321"/>
      <c r="BT40" s="321"/>
      <c r="BU40" s="321"/>
      <c r="BV40" s="321"/>
      <c r="BW40" s="321"/>
      <c r="BX40" s="321"/>
      <c r="BY40" s="321"/>
      <c r="BZ40" s="321"/>
      <c r="CA40" s="321"/>
      <c r="CB40" s="321"/>
      <c r="CC40" s="321"/>
      <c r="CD40" s="321"/>
      <c r="CE40" s="321"/>
      <c r="CF40" s="321"/>
      <c r="CG40" s="321"/>
      <c r="CH40" s="321"/>
      <c r="CI40" s="321"/>
      <c r="CJ40" s="321"/>
      <c r="CK40" s="321"/>
      <c r="CL40" s="321"/>
      <c r="CM40" s="321"/>
      <c r="CN40" s="321"/>
      <c r="CO40" s="321"/>
      <c r="CP40" s="321"/>
      <c r="CQ40" s="321"/>
      <c r="CR40" s="321"/>
      <c r="CS40" s="321"/>
      <c r="CT40" s="321"/>
      <c r="CU40" s="321"/>
      <c r="CV40" s="321"/>
      <c r="CW40" s="321"/>
      <c r="CX40" s="321"/>
      <c r="CY40" s="321"/>
      <c r="CZ40" s="321"/>
      <c r="DA40" s="321"/>
      <c r="DB40" s="321"/>
      <c r="DC40" s="321"/>
      <c r="DD40" s="321"/>
      <c r="DE40" s="321"/>
      <c r="DF40" s="321"/>
      <c r="DG40" s="321"/>
      <c r="DH40" s="321"/>
      <c r="DI40" s="321"/>
      <c r="DJ40" s="321"/>
    </row>
    <row r="41" spans="1:114" s="322" customFormat="1" ht="20.100000000000001" customHeight="1" x14ac:dyDescent="0.2">
      <c r="A41" s="321"/>
      <c r="B41" s="323"/>
      <c r="C41" s="323"/>
      <c r="D41" s="323"/>
      <c r="E41" s="323"/>
      <c r="F41" s="323"/>
      <c r="G41" s="323"/>
      <c r="H41" s="323"/>
      <c r="I41" s="323"/>
      <c r="J41" s="323"/>
      <c r="K41" s="323"/>
      <c r="L41" s="323"/>
      <c r="M41" s="651"/>
      <c r="N41" s="323"/>
      <c r="O41" s="323"/>
      <c r="P41" s="323"/>
      <c r="Q41" s="323"/>
      <c r="BE41" s="321"/>
      <c r="BF41" s="321"/>
      <c r="BG41" s="321"/>
      <c r="BH41" s="321"/>
      <c r="BI41" s="321"/>
      <c r="BJ41" s="321"/>
      <c r="BK41" s="321"/>
      <c r="BL41" s="321"/>
      <c r="BM41" s="321"/>
      <c r="BN41" s="321"/>
      <c r="BO41" s="321"/>
      <c r="BP41" s="321"/>
      <c r="BQ41" s="321"/>
      <c r="BR41" s="321"/>
      <c r="BS41" s="321"/>
      <c r="BT41" s="321"/>
      <c r="BU41" s="321"/>
      <c r="BV41" s="321"/>
      <c r="BW41" s="321"/>
      <c r="BX41" s="321"/>
      <c r="BY41" s="321"/>
      <c r="BZ41" s="321"/>
      <c r="CA41" s="321"/>
      <c r="CB41" s="321"/>
      <c r="CC41" s="321"/>
      <c r="CD41" s="321"/>
      <c r="CE41" s="321"/>
      <c r="CF41" s="321"/>
      <c r="CG41" s="321"/>
      <c r="CH41" s="321"/>
      <c r="CI41" s="321"/>
      <c r="CJ41" s="321"/>
      <c r="CK41" s="321"/>
      <c r="CL41" s="321"/>
      <c r="CM41" s="321"/>
      <c r="CN41" s="321"/>
      <c r="CO41" s="321"/>
      <c r="CP41" s="321"/>
      <c r="CQ41" s="321"/>
      <c r="CR41" s="321"/>
      <c r="CS41" s="321"/>
      <c r="CT41" s="321"/>
      <c r="CU41" s="321"/>
      <c r="CV41" s="321"/>
      <c r="CW41" s="321"/>
      <c r="CX41" s="321"/>
      <c r="CY41" s="321"/>
      <c r="CZ41" s="321"/>
      <c r="DA41" s="321"/>
      <c r="DB41" s="321"/>
      <c r="DC41" s="321"/>
      <c r="DD41" s="321"/>
      <c r="DE41" s="321"/>
      <c r="DF41" s="321"/>
      <c r="DG41" s="321"/>
      <c r="DH41" s="321"/>
      <c r="DI41" s="321"/>
      <c r="DJ41" s="321"/>
    </row>
    <row r="42" spans="1:114" s="322" customFormat="1" ht="20.100000000000001" customHeight="1" x14ac:dyDescent="0.2">
      <c r="A42" s="321"/>
      <c r="B42" s="323"/>
      <c r="C42" s="323"/>
      <c r="D42" s="323"/>
      <c r="E42" s="323"/>
      <c r="F42" s="323"/>
      <c r="G42" s="323"/>
      <c r="H42" s="323"/>
      <c r="I42" s="323"/>
      <c r="J42" s="323"/>
      <c r="K42" s="323"/>
      <c r="L42" s="323"/>
      <c r="M42" s="651"/>
      <c r="N42" s="323"/>
      <c r="O42" s="323"/>
      <c r="P42" s="323"/>
      <c r="Q42" s="323"/>
      <c r="BE42" s="321"/>
      <c r="BF42" s="321"/>
      <c r="BG42" s="321"/>
      <c r="BH42" s="321"/>
      <c r="BI42" s="321"/>
      <c r="BJ42" s="321"/>
      <c r="BK42" s="321"/>
      <c r="BL42" s="321"/>
      <c r="BM42" s="321"/>
      <c r="BN42" s="321"/>
      <c r="BO42" s="321"/>
      <c r="BP42" s="321"/>
      <c r="BQ42" s="321"/>
      <c r="BR42" s="321"/>
      <c r="BS42" s="321"/>
      <c r="BT42" s="321"/>
      <c r="BU42" s="321"/>
      <c r="BV42" s="321"/>
      <c r="BW42" s="321"/>
      <c r="BX42" s="321"/>
      <c r="BY42" s="321"/>
      <c r="BZ42" s="321"/>
      <c r="CA42" s="321"/>
      <c r="CB42" s="321"/>
      <c r="CC42" s="321"/>
      <c r="CD42" s="321"/>
      <c r="CE42" s="321"/>
      <c r="CF42" s="321"/>
      <c r="CG42" s="321"/>
      <c r="CH42" s="321"/>
      <c r="CI42" s="321"/>
      <c r="CJ42" s="321"/>
      <c r="CK42" s="321"/>
      <c r="CL42" s="321"/>
      <c r="CM42" s="321"/>
      <c r="CN42" s="321"/>
      <c r="CO42" s="321"/>
      <c r="CP42" s="321"/>
      <c r="CQ42" s="321"/>
      <c r="CR42" s="321"/>
      <c r="CS42" s="321"/>
      <c r="CT42" s="321"/>
      <c r="CU42" s="321"/>
      <c r="CV42" s="321"/>
      <c r="CW42" s="321"/>
      <c r="CX42" s="321"/>
      <c r="CY42" s="321"/>
      <c r="CZ42" s="321"/>
      <c r="DA42" s="321"/>
      <c r="DB42" s="321"/>
      <c r="DC42" s="321"/>
      <c r="DD42" s="321"/>
      <c r="DE42" s="321"/>
      <c r="DF42" s="321"/>
      <c r="DG42" s="321"/>
      <c r="DH42" s="321"/>
      <c r="DI42" s="321"/>
      <c r="DJ42" s="321"/>
    </row>
    <row r="43" spans="1:114" s="322" customFormat="1" ht="20.100000000000001" customHeight="1" x14ac:dyDescent="0.2">
      <c r="A43" s="321"/>
      <c r="B43" s="323"/>
      <c r="C43" s="323"/>
      <c r="D43" s="323"/>
      <c r="E43" s="323"/>
      <c r="F43" s="323"/>
      <c r="G43" s="323"/>
      <c r="H43" s="323"/>
      <c r="I43" s="323"/>
      <c r="J43" s="323"/>
      <c r="K43" s="323"/>
      <c r="L43" s="323"/>
      <c r="M43" s="651"/>
      <c r="N43" s="323"/>
      <c r="O43" s="323"/>
      <c r="P43" s="323"/>
      <c r="Q43" s="323"/>
      <c r="BE43" s="321"/>
      <c r="BF43" s="321"/>
      <c r="BG43" s="321"/>
      <c r="BH43" s="321"/>
      <c r="BI43" s="321"/>
      <c r="BJ43" s="321"/>
      <c r="BK43" s="321"/>
      <c r="BL43" s="321"/>
      <c r="BM43" s="321"/>
      <c r="BN43" s="321"/>
      <c r="BO43" s="321"/>
      <c r="BP43" s="321"/>
      <c r="BQ43" s="321"/>
      <c r="BR43" s="321"/>
      <c r="BS43" s="321"/>
      <c r="BT43" s="321"/>
      <c r="BU43" s="321"/>
      <c r="BV43" s="321"/>
      <c r="BW43" s="321"/>
      <c r="BX43" s="321"/>
      <c r="BY43" s="321"/>
      <c r="BZ43" s="321"/>
      <c r="CA43" s="321"/>
      <c r="CB43" s="321"/>
      <c r="CC43" s="321"/>
      <c r="CD43" s="321"/>
      <c r="CE43" s="321"/>
      <c r="CF43" s="321"/>
      <c r="CG43" s="321"/>
      <c r="CH43" s="321"/>
      <c r="CI43" s="321"/>
      <c r="CJ43" s="321"/>
      <c r="CK43" s="321"/>
      <c r="CL43" s="321"/>
      <c r="CM43" s="321"/>
      <c r="CN43" s="321"/>
      <c r="CO43" s="321"/>
      <c r="CP43" s="321"/>
      <c r="CQ43" s="321"/>
      <c r="CR43" s="321"/>
      <c r="CS43" s="321"/>
      <c r="CT43" s="321"/>
      <c r="CU43" s="321"/>
      <c r="CV43" s="321"/>
      <c r="CW43" s="321"/>
      <c r="CX43" s="321"/>
      <c r="CY43" s="321"/>
      <c r="CZ43" s="321"/>
      <c r="DA43" s="321"/>
      <c r="DB43" s="321"/>
      <c r="DC43" s="321"/>
      <c r="DD43" s="321"/>
      <c r="DE43" s="321"/>
      <c r="DF43" s="321"/>
      <c r="DG43" s="321"/>
      <c r="DH43" s="321"/>
      <c r="DI43" s="321"/>
      <c r="DJ43" s="321"/>
    </row>
    <row r="44" spans="1:114" s="322" customFormat="1" ht="20.100000000000001" customHeight="1" x14ac:dyDescent="0.2">
      <c r="A44" s="321"/>
      <c r="B44" s="323"/>
      <c r="C44" s="323"/>
      <c r="D44" s="323"/>
      <c r="E44" s="323"/>
      <c r="F44" s="323"/>
      <c r="G44" s="323"/>
      <c r="H44" s="323"/>
      <c r="I44" s="323"/>
      <c r="J44" s="323"/>
      <c r="K44" s="323"/>
      <c r="L44" s="323"/>
      <c r="M44" s="651"/>
      <c r="N44" s="323"/>
      <c r="O44" s="323"/>
      <c r="P44" s="323"/>
      <c r="Q44" s="323"/>
      <c r="BE44" s="321"/>
      <c r="BF44" s="321"/>
      <c r="BG44" s="321"/>
      <c r="BH44" s="321"/>
      <c r="BI44" s="321"/>
      <c r="BJ44" s="321"/>
      <c r="BK44" s="321"/>
      <c r="BL44" s="321"/>
      <c r="BM44" s="321"/>
      <c r="BN44" s="321"/>
      <c r="BO44" s="321"/>
      <c r="BP44" s="321"/>
      <c r="BQ44" s="321"/>
      <c r="BR44" s="321"/>
      <c r="BS44" s="321"/>
      <c r="BT44" s="321"/>
      <c r="BU44" s="321"/>
      <c r="BV44" s="321"/>
      <c r="BW44" s="321"/>
      <c r="BX44" s="321"/>
      <c r="BY44" s="321"/>
      <c r="BZ44" s="321"/>
      <c r="CA44" s="321"/>
      <c r="CB44" s="321"/>
      <c r="CC44" s="321"/>
      <c r="CD44" s="321"/>
      <c r="CE44" s="321"/>
      <c r="CF44" s="321"/>
      <c r="CG44" s="321"/>
      <c r="CH44" s="321"/>
      <c r="CI44" s="321"/>
      <c r="CJ44" s="321"/>
      <c r="CK44" s="321"/>
      <c r="CL44" s="321"/>
      <c r="CM44" s="321"/>
      <c r="CN44" s="321"/>
      <c r="CO44" s="321"/>
      <c r="CP44" s="321"/>
      <c r="CQ44" s="321"/>
      <c r="CR44" s="321"/>
      <c r="CS44" s="321"/>
      <c r="CT44" s="321"/>
      <c r="CU44" s="321"/>
      <c r="CV44" s="321"/>
      <c r="CW44" s="321"/>
      <c r="CX44" s="321"/>
      <c r="CY44" s="321"/>
      <c r="CZ44" s="321"/>
      <c r="DA44" s="321"/>
      <c r="DB44" s="321"/>
      <c r="DC44" s="321"/>
      <c r="DD44" s="321"/>
      <c r="DE44" s="321"/>
      <c r="DF44" s="321"/>
      <c r="DG44" s="321"/>
      <c r="DH44" s="321"/>
      <c r="DI44" s="321"/>
      <c r="DJ44" s="321"/>
    </row>
    <row r="45" spans="1:114" s="322" customFormat="1" ht="20.100000000000001" customHeight="1" x14ac:dyDescent="0.2">
      <c r="A45" s="321"/>
      <c r="B45" s="323"/>
      <c r="C45" s="323"/>
      <c r="D45" s="323"/>
      <c r="E45" s="323"/>
      <c r="F45" s="323"/>
      <c r="G45" s="323"/>
      <c r="H45" s="323"/>
      <c r="I45" s="323"/>
      <c r="J45" s="323"/>
      <c r="K45" s="323"/>
      <c r="L45" s="323"/>
      <c r="M45" s="651"/>
      <c r="N45" s="323"/>
      <c r="O45" s="323"/>
      <c r="P45" s="323"/>
      <c r="Q45" s="323"/>
      <c r="BE45" s="321"/>
      <c r="BF45" s="321"/>
      <c r="BG45" s="321"/>
      <c r="BH45" s="321"/>
      <c r="BI45" s="321"/>
      <c r="BJ45" s="321"/>
      <c r="BK45" s="321"/>
      <c r="BL45" s="321"/>
      <c r="BM45" s="321"/>
      <c r="BN45" s="321"/>
      <c r="BO45" s="321"/>
      <c r="BP45" s="321"/>
      <c r="BQ45" s="321"/>
      <c r="BR45" s="321"/>
      <c r="BS45" s="321"/>
      <c r="BT45" s="321"/>
      <c r="BU45" s="321"/>
      <c r="BV45" s="321"/>
      <c r="BW45" s="321"/>
      <c r="BX45" s="321"/>
      <c r="BY45" s="321"/>
      <c r="BZ45" s="321"/>
      <c r="CA45" s="321"/>
      <c r="CB45" s="321"/>
      <c r="CC45" s="321"/>
      <c r="CD45" s="321"/>
      <c r="CE45" s="321"/>
      <c r="CF45" s="321"/>
      <c r="CG45" s="321"/>
      <c r="CH45" s="321"/>
      <c r="CI45" s="321"/>
      <c r="CJ45" s="321"/>
      <c r="CK45" s="321"/>
      <c r="CL45" s="321"/>
      <c r="CM45" s="321"/>
      <c r="CN45" s="321"/>
      <c r="CO45" s="321"/>
      <c r="CP45" s="321"/>
      <c r="CQ45" s="321"/>
      <c r="CR45" s="321"/>
      <c r="CS45" s="321"/>
      <c r="CT45" s="321"/>
      <c r="CU45" s="321"/>
      <c r="CV45" s="321"/>
      <c r="CW45" s="321"/>
      <c r="CX45" s="321"/>
      <c r="CY45" s="321"/>
      <c r="CZ45" s="321"/>
      <c r="DA45" s="321"/>
      <c r="DB45" s="321"/>
      <c r="DC45" s="321"/>
      <c r="DD45" s="321"/>
      <c r="DE45" s="321"/>
      <c r="DF45" s="321"/>
      <c r="DG45" s="321"/>
      <c r="DH45" s="321"/>
      <c r="DI45" s="321"/>
      <c r="DJ45" s="321"/>
    </row>
    <row r="46" spans="1:114" s="322" customFormat="1" ht="20.100000000000001" customHeight="1" x14ac:dyDescent="0.2">
      <c r="A46" s="321"/>
      <c r="B46" s="323"/>
      <c r="C46" s="323"/>
      <c r="D46" s="323"/>
      <c r="E46" s="323"/>
      <c r="F46" s="323"/>
      <c r="G46" s="323"/>
      <c r="H46" s="323"/>
      <c r="I46" s="323"/>
      <c r="J46" s="323"/>
      <c r="K46" s="323"/>
      <c r="L46" s="323"/>
      <c r="M46" s="651"/>
      <c r="N46" s="323"/>
      <c r="O46" s="323"/>
      <c r="P46" s="323"/>
      <c r="Q46" s="323"/>
      <c r="BE46" s="321"/>
      <c r="BF46" s="321"/>
      <c r="BG46" s="321"/>
      <c r="BH46" s="321"/>
      <c r="BI46" s="321"/>
      <c r="BJ46" s="321"/>
      <c r="BK46" s="321"/>
      <c r="BL46" s="321"/>
      <c r="BM46" s="321"/>
      <c r="BN46" s="321"/>
      <c r="BO46" s="321"/>
      <c r="BP46" s="321"/>
      <c r="BQ46" s="321"/>
      <c r="BR46" s="321"/>
      <c r="BS46" s="321"/>
      <c r="BT46" s="321"/>
      <c r="BU46" s="321"/>
      <c r="BV46" s="321"/>
      <c r="BW46" s="321"/>
      <c r="BX46" s="321"/>
      <c r="BY46" s="321"/>
      <c r="BZ46" s="321"/>
      <c r="CA46" s="321"/>
      <c r="CB46" s="321"/>
      <c r="CC46" s="321"/>
      <c r="CD46" s="321"/>
      <c r="CE46" s="321"/>
      <c r="CF46" s="321"/>
      <c r="CG46" s="321"/>
      <c r="CH46" s="321"/>
      <c r="CI46" s="321"/>
      <c r="CJ46" s="321"/>
      <c r="CK46" s="321"/>
      <c r="CL46" s="321"/>
      <c r="CM46" s="321"/>
      <c r="CN46" s="321"/>
      <c r="CO46" s="321"/>
      <c r="CP46" s="321"/>
      <c r="CQ46" s="321"/>
      <c r="CR46" s="321"/>
      <c r="CS46" s="321"/>
      <c r="CT46" s="321"/>
      <c r="CU46" s="321"/>
      <c r="CV46" s="321"/>
      <c r="CW46" s="321"/>
      <c r="CX46" s="321"/>
      <c r="CY46" s="321"/>
      <c r="CZ46" s="321"/>
      <c r="DA46" s="321"/>
      <c r="DB46" s="321"/>
      <c r="DC46" s="321"/>
      <c r="DD46" s="321"/>
      <c r="DE46" s="321"/>
      <c r="DF46" s="321"/>
      <c r="DG46" s="321"/>
      <c r="DH46" s="321"/>
      <c r="DI46" s="321"/>
      <c r="DJ46" s="321"/>
    </row>
    <row r="47" spans="1:114" s="322" customFormat="1" ht="19.899999999999999" customHeight="1" x14ac:dyDescent="0.2">
      <c r="A47" s="321"/>
      <c r="B47" s="323"/>
      <c r="C47" s="323"/>
      <c r="D47" s="323"/>
      <c r="E47" s="323"/>
      <c r="F47" s="323"/>
      <c r="G47" s="323"/>
      <c r="H47" s="323"/>
      <c r="I47" s="323"/>
      <c r="J47" s="323"/>
      <c r="K47" s="323"/>
      <c r="L47" s="323"/>
      <c r="M47" s="651"/>
      <c r="N47" s="323"/>
      <c r="O47" s="323"/>
      <c r="P47" s="323"/>
      <c r="Q47" s="323"/>
      <c r="BE47" s="321"/>
      <c r="BF47" s="321"/>
      <c r="BG47" s="321"/>
      <c r="BH47" s="321"/>
      <c r="BI47" s="321"/>
      <c r="BJ47" s="321"/>
      <c r="BK47" s="321"/>
      <c r="BL47" s="321"/>
      <c r="BM47" s="321"/>
      <c r="BN47" s="321"/>
      <c r="BO47" s="321"/>
      <c r="BP47" s="321"/>
      <c r="BQ47" s="321"/>
      <c r="BR47" s="321"/>
      <c r="BS47" s="321"/>
      <c r="BT47" s="321"/>
      <c r="BU47" s="321"/>
      <c r="BV47" s="321"/>
      <c r="BW47" s="321"/>
      <c r="BX47" s="321"/>
      <c r="BY47" s="321"/>
      <c r="BZ47" s="321"/>
      <c r="CA47" s="321"/>
      <c r="CB47" s="321"/>
      <c r="CC47" s="321"/>
      <c r="CD47" s="321"/>
      <c r="CE47" s="321"/>
      <c r="CF47" s="321"/>
      <c r="CG47" s="321"/>
      <c r="CH47" s="321"/>
      <c r="CI47" s="321"/>
      <c r="CJ47" s="321"/>
      <c r="CK47" s="321"/>
      <c r="CL47" s="321"/>
      <c r="CM47" s="321"/>
      <c r="CN47" s="321"/>
      <c r="CO47" s="321"/>
      <c r="CP47" s="321"/>
      <c r="CQ47" s="321"/>
      <c r="CR47" s="321"/>
      <c r="CS47" s="321"/>
      <c r="CT47" s="321"/>
      <c r="CU47" s="321"/>
      <c r="CV47" s="321"/>
      <c r="CW47" s="321"/>
      <c r="CX47" s="321"/>
      <c r="CY47" s="321"/>
      <c r="CZ47" s="321"/>
      <c r="DA47" s="321"/>
      <c r="DB47" s="321"/>
      <c r="DC47" s="321"/>
      <c r="DD47" s="321"/>
      <c r="DE47" s="321"/>
      <c r="DF47" s="321"/>
      <c r="DG47" s="321"/>
      <c r="DH47" s="321"/>
      <c r="DI47" s="321"/>
      <c r="DJ47" s="321"/>
    </row>
    <row r="48" spans="1:114" s="322" customFormat="1" ht="20.100000000000001" customHeight="1" x14ac:dyDescent="0.2">
      <c r="A48" s="321"/>
      <c r="B48" s="323"/>
      <c r="C48" s="323"/>
      <c r="D48" s="323"/>
      <c r="E48" s="323"/>
      <c r="F48" s="323"/>
      <c r="G48" s="323"/>
      <c r="H48" s="323"/>
      <c r="I48" s="323"/>
      <c r="J48" s="323"/>
      <c r="K48" s="323"/>
      <c r="L48" s="323"/>
      <c r="M48" s="651"/>
      <c r="N48" s="323"/>
      <c r="O48" s="323"/>
      <c r="P48" s="323"/>
      <c r="Q48" s="323"/>
      <c r="BE48" s="321"/>
      <c r="BF48" s="321"/>
      <c r="BG48" s="321"/>
      <c r="BH48" s="321"/>
      <c r="BI48" s="321"/>
      <c r="BJ48" s="321"/>
      <c r="BK48" s="321"/>
      <c r="BL48" s="321"/>
      <c r="BM48" s="321"/>
      <c r="BN48" s="321"/>
      <c r="BO48" s="321"/>
      <c r="BP48" s="321"/>
      <c r="BQ48" s="321"/>
      <c r="BR48" s="321"/>
      <c r="BS48" s="321"/>
      <c r="BT48" s="321"/>
      <c r="BU48" s="321"/>
      <c r="BV48" s="321"/>
      <c r="BW48" s="321"/>
      <c r="BX48" s="321"/>
      <c r="BY48" s="321"/>
      <c r="BZ48" s="321"/>
      <c r="CA48" s="321"/>
      <c r="CB48" s="321"/>
      <c r="CC48" s="321"/>
      <c r="CD48" s="321"/>
      <c r="CE48" s="321"/>
      <c r="CF48" s="321"/>
      <c r="CG48" s="321"/>
      <c r="CH48" s="321"/>
      <c r="CI48" s="321"/>
      <c r="CJ48" s="321"/>
      <c r="CK48" s="321"/>
      <c r="CL48" s="321"/>
      <c r="CM48" s="321"/>
      <c r="CN48" s="321"/>
      <c r="CO48" s="321"/>
      <c r="CP48" s="321"/>
      <c r="CQ48" s="321"/>
      <c r="CR48" s="321"/>
      <c r="CS48" s="321"/>
      <c r="CT48" s="321"/>
      <c r="CU48" s="321"/>
      <c r="CV48" s="321"/>
      <c r="CW48" s="321"/>
      <c r="CX48" s="321"/>
      <c r="CY48" s="321"/>
      <c r="CZ48" s="321"/>
      <c r="DA48" s="321"/>
      <c r="DB48" s="321"/>
      <c r="DC48" s="321"/>
      <c r="DD48" s="321"/>
      <c r="DE48" s="321"/>
      <c r="DF48" s="321"/>
      <c r="DG48" s="321"/>
      <c r="DH48" s="321"/>
      <c r="DI48" s="321"/>
      <c r="DJ48" s="321"/>
    </row>
    <row r="49" spans="1:114" s="322" customFormat="1" ht="20.100000000000001" customHeight="1" x14ac:dyDescent="0.2">
      <c r="A49" s="321"/>
      <c r="B49" s="323"/>
      <c r="C49" s="323"/>
      <c r="D49" s="323"/>
      <c r="E49" s="323"/>
      <c r="F49" s="323"/>
      <c r="G49" s="323"/>
      <c r="H49" s="323"/>
      <c r="I49" s="323"/>
      <c r="J49" s="323"/>
      <c r="K49" s="323"/>
      <c r="L49" s="323"/>
      <c r="M49" s="651"/>
      <c r="N49" s="323"/>
      <c r="O49" s="323"/>
      <c r="P49" s="323"/>
      <c r="Q49" s="323"/>
      <c r="BE49" s="321"/>
      <c r="BF49" s="321"/>
      <c r="BG49" s="321"/>
      <c r="BH49" s="321"/>
      <c r="BI49" s="321"/>
      <c r="BJ49" s="321"/>
      <c r="BK49" s="321"/>
      <c r="BL49" s="321"/>
      <c r="BM49" s="321"/>
      <c r="BN49" s="321"/>
      <c r="BO49" s="321"/>
      <c r="BP49" s="321"/>
      <c r="BQ49" s="321"/>
      <c r="BR49" s="321"/>
      <c r="BS49" s="321"/>
      <c r="BT49" s="321"/>
      <c r="BU49" s="321"/>
      <c r="BV49" s="321"/>
      <c r="BW49" s="321"/>
      <c r="BX49" s="321"/>
      <c r="BY49" s="321"/>
      <c r="BZ49" s="321"/>
      <c r="CA49" s="321"/>
      <c r="CB49" s="321"/>
      <c r="CC49" s="321"/>
      <c r="CD49" s="321"/>
      <c r="CE49" s="321"/>
      <c r="CF49" s="321"/>
      <c r="CG49" s="321"/>
      <c r="CH49" s="321"/>
      <c r="CI49" s="321"/>
      <c r="CJ49" s="321"/>
      <c r="CK49" s="321"/>
      <c r="CL49" s="321"/>
      <c r="CM49" s="321"/>
      <c r="CN49" s="321"/>
      <c r="CO49" s="321"/>
      <c r="CP49" s="321"/>
      <c r="CQ49" s="321"/>
      <c r="CR49" s="321"/>
      <c r="CS49" s="321"/>
      <c r="CT49" s="321"/>
      <c r="CU49" s="321"/>
      <c r="CV49" s="321"/>
      <c r="CW49" s="321"/>
      <c r="CX49" s="321"/>
      <c r="CY49" s="321"/>
      <c r="CZ49" s="321"/>
      <c r="DA49" s="321"/>
      <c r="DB49" s="321"/>
      <c r="DC49" s="321"/>
      <c r="DD49" s="321"/>
      <c r="DE49" s="321"/>
      <c r="DF49" s="321"/>
      <c r="DG49" s="321"/>
      <c r="DH49" s="321"/>
      <c r="DI49" s="321"/>
      <c r="DJ49" s="321"/>
    </row>
    <row r="50" spans="1:114" s="322" customFormat="1" ht="20.100000000000001" customHeight="1" x14ac:dyDescent="0.2">
      <c r="A50" s="321"/>
      <c r="B50" s="323"/>
      <c r="C50" s="323"/>
      <c r="D50" s="323"/>
      <c r="E50" s="323"/>
      <c r="F50" s="323"/>
      <c r="G50" s="323"/>
      <c r="H50" s="323"/>
      <c r="I50" s="323"/>
      <c r="J50" s="323"/>
      <c r="K50" s="323"/>
      <c r="L50" s="323"/>
      <c r="M50" s="651"/>
      <c r="N50" s="323"/>
      <c r="O50" s="323"/>
      <c r="P50" s="323"/>
      <c r="Q50" s="323"/>
      <c r="BE50" s="321"/>
      <c r="BF50" s="321"/>
      <c r="BG50" s="321"/>
      <c r="BH50" s="321"/>
      <c r="BI50" s="321"/>
      <c r="BJ50" s="321"/>
      <c r="BK50" s="321"/>
      <c r="BL50" s="321"/>
      <c r="BM50" s="321"/>
      <c r="BN50" s="321"/>
      <c r="BO50" s="321"/>
      <c r="BP50" s="321"/>
      <c r="BQ50" s="321"/>
      <c r="BR50" s="321"/>
      <c r="BS50" s="321"/>
      <c r="BT50" s="321"/>
      <c r="BU50" s="321"/>
      <c r="BV50" s="321"/>
      <c r="BW50" s="321"/>
      <c r="BX50" s="321"/>
      <c r="BY50" s="321"/>
      <c r="BZ50" s="321"/>
      <c r="CA50" s="321"/>
      <c r="CB50" s="321"/>
      <c r="CC50" s="321"/>
      <c r="CD50" s="321"/>
      <c r="CE50" s="321"/>
      <c r="CF50" s="321"/>
      <c r="CG50" s="321"/>
      <c r="CH50" s="321"/>
      <c r="CI50" s="321"/>
      <c r="CJ50" s="321"/>
      <c r="CK50" s="321"/>
      <c r="CL50" s="321"/>
      <c r="CM50" s="321"/>
      <c r="CN50" s="321"/>
      <c r="CO50" s="321"/>
      <c r="CP50" s="321"/>
      <c r="CQ50" s="321"/>
      <c r="CR50" s="321"/>
      <c r="CS50" s="321"/>
      <c r="CT50" s="321"/>
      <c r="CU50" s="321"/>
      <c r="CV50" s="321"/>
      <c r="CW50" s="321"/>
      <c r="CX50" s="321"/>
      <c r="CY50" s="321"/>
      <c r="CZ50" s="321"/>
      <c r="DA50" s="321"/>
      <c r="DB50" s="321"/>
      <c r="DC50" s="321"/>
      <c r="DD50" s="321"/>
      <c r="DE50" s="321"/>
      <c r="DF50" s="321"/>
      <c r="DG50" s="321"/>
      <c r="DH50" s="321"/>
      <c r="DI50" s="321"/>
      <c r="DJ50" s="321"/>
    </row>
    <row r="51" spans="1:114" s="322" customFormat="1" ht="20.100000000000001" customHeight="1" x14ac:dyDescent="0.2">
      <c r="A51" s="321"/>
      <c r="B51" s="323"/>
      <c r="C51" s="323"/>
      <c r="D51" s="323"/>
      <c r="E51" s="323"/>
      <c r="F51" s="323"/>
      <c r="G51" s="323"/>
      <c r="H51" s="323"/>
      <c r="I51" s="323"/>
      <c r="J51" s="323"/>
      <c r="K51" s="323"/>
      <c r="L51" s="323"/>
      <c r="M51" s="651"/>
      <c r="N51" s="323"/>
      <c r="O51" s="323"/>
      <c r="P51" s="323"/>
      <c r="Q51" s="323"/>
      <c r="BE51" s="321"/>
      <c r="BF51" s="321"/>
      <c r="BG51" s="321"/>
      <c r="BH51" s="321"/>
      <c r="BI51" s="321"/>
      <c r="BJ51" s="321"/>
      <c r="BK51" s="321"/>
      <c r="BL51" s="321"/>
      <c r="BM51" s="321"/>
      <c r="BN51" s="321"/>
      <c r="BO51" s="321"/>
      <c r="BP51" s="321"/>
      <c r="BQ51" s="321"/>
      <c r="BR51" s="321"/>
      <c r="BS51" s="321"/>
      <c r="BT51" s="321"/>
      <c r="BU51" s="321"/>
      <c r="BV51" s="321"/>
      <c r="BW51" s="321"/>
      <c r="BX51" s="321"/>
      <c r="BY51" s="321"/>
      <c r="BZ51" s="321"/>
      <c r="CA51" s="321"/>
      <c r="CB51" s="321"/>
      <c r="CC51" s="321"/>
      <c r="CD51" s="321"/>
      <c r="CE51" s="321"/>
      <c r="CF51" s="321"/>
      <c r="CG51" s="321"/>
      <c r="CH51" s="321"/>
      <c r="CI51" s="321"/>
      <c r="CJ51" s="321"/>
      <c r="CK51" s="321"/>
      <c r="CL51" s="321"/>
      <c r="CM51" s="321"/>
      <c r="CN51" s="321"/>
      <c r="CO51" s="321"/>
      <c r="CP51" s="321"/>
      <c r="CQ51" s="321"/>
      <c r="CR51" s="321"/>
      <c r="CS51" s="321"/>
      <c r="CT51" s="321"/>
      <c r="CU51" s="321"/>
      <c r="CV51" s="321"/>
      <c r="CW51" s="321"/>
      <c r="CX51" s="321"/>
      <c r="CY51" s="321"/>
      <c r="CZ51" s="321"/>
      <c r="DA51" s="321"/>
      <c r="DB51" s="321"/>
      <c r="DC51" s="321"/>
      <c r="DD51" s="321"/>
      <c r="DE51" s="321"/>
      <c r="DF51" s="321"/>
      <c r="DG51" s="321"/>
      <c r="DH51" s="321"/>
      <c r="DI51" s="321"/>
      <c r="DJ51" s="321"/>
    </row>
    <row r="52" spans="1:114" s="322" customFormat="1" ht="20.100000000000001" customHeight="1" x14ac:dyDescent="0.2">
      <c r="A52" s="321"/>
      <c r="B52" s="323"/>
      <c r="C52" s="323"/>
      <c r="D52" s="323"/>
      <c r="E52" s="323"/>
      <c r="F52" s="323"/>
      <c r="G52" s="323"/>
      <c r="H52" s="323"/>
      <c r="I52" s="323"/>
      <c r="J52" s="323"/>
      <c r="K52" s="323"/>
      <c r="L52" s="323"/>
      <c r="M52" s="651"/>
      <c r="N52" s="323"/>
      <c r="O52" s="323"/>
      <c r="P52" s="323"/>
      <c r="Q52" s="323"/>
      <c r="BE52" s="321"/>
      <c r="BF52" s="321"/>
      <c r="BG52" s="321"/>
      <c r="BH52" s="321"/>
      <c r="BI52" s="321"/>
      <c r="BJ52" s="321"/>
      <c r="BK52" s="321"/>
      <c r="BL52" s="321"/>
      <c r="BM52" s="321"/>
      <c r="BN52" s="321"/>
      <c r="BO52" s="321"/>
      <c r="BP52" s="321"/>
      <c r="BQ52" s="321"/>
      <c r="BR52" s="321"/>
      <c r="BS52" s="321"/>
      <c r="BT52" s="321"/>
      <c r="BU52" s="321"/>
      <c r="BV52" s="321"/>
      <c r="BW52" s="321"/>
      <c r="BX52" s="321"/>
      <c r="BY52" s="321"/>
      <c r="BZ52" s="321"/>
      <c r="CA52" s="321"/>
      <c r="CB52" s="321"/>
      <c r="CC52" s="321"/>
      <c r="CD52" s="321"/>
      <c r="CE52" s="321"/>
      <c r="CF52" s="321"/>
      <c r="CG52" s="321"/>
      <c r="CH52" s="321"/>
      <c r="CI52" s="321"/>
      <c r="CJ52" s="321"/>
      <c r="CK52" s="321"/>
      <c r="CL52" s="321"/>
      <c r="CM52" s="321"/>
      <c r="CN52" s="321"/>
      <c r="CO52" s="321"/>
      <c r="CP52" s="321"/>
      <c r="CQ52" s="321"/>
      <c r="CR52" s="321"/>
      <c r="CS52" s="321"/>
      <c r="CT52" s="321"/>
      <c r="CU52" s="321"/>
      <c r="CV52" s="321"/>
      <c r="CW52" s="321"/>
      <c r="CX52" s="321"/>
      <c r="CY52" s="321"/>
      <c r="CZ52" s="321"/>
      <c r="DA52" s="321"/>
      <c r="DB52" s="321"/>
      <c r="DC52" s="321"/>
      <c r="DD52" s="321"/>
      <c r="DE52" s="321"/>
      <c r="DF52" s="321"/>
      <c r="DG52" s="321"/>
      <c r="DH52" s="321"/>
      <c r="DI52" s="321"/>
      <c r="DJ52" s="321"/>
    </row>
    <row r="53" spans="1:114" s="322" customFormat="1" ht="20.100000000000001" customHeight="1" x14ac:dyDescent="0.2">
      <c r="A53" s="321"/>
      <c r="B53" s="323"/>
      <c r="C53" s="323"/>
      <c r="D53" s="323"/>
      <c r="E53" s="323"/>
      <c r="F53" s="323"/>
      <c r="G53" s="323"/>
      <c r="H53" s="323"/>
      <c r="I53" s="323"/>
      <c r="J53" s="323"/>
      <c r="K53" s="323"/>
      <c r="L53" s="323"/>
      <c r="M53" s="651"/>
      <c r="N53" s="323"/>
      <c r="O53" s="323"/>
      <c r="P53" s="323"/>
      <c r="Q53" s="323"/>
      <c r="BE53" s="321"/>
      <c r="BF53" s="321"/>
      <c r="BG53" s="321"/>
      <c r="BH53" s="321"/>
      <c r="BI53" s="321"/>
      <c r="BJ53" s="321"/>
      <c r="BK53" s="321"/>
      <c r="BL53" s="321"/>
      <c r="BM53" s="321"/>
      <c r="BN53" s="321"/>
      <c r="BO53" s="321"/>
      <c r="BP53" s="321"/>
      <c r="BQ53" s="321"/>
      <c r="BR53" s="321"/>
      <c r="BS53" s="321"/>
      <c r="BT53" s="321"/>
      <c r="BU53" s="321"/>
      <c r="BV53" s="321"/>
      <c r="BW53" s="321"/>
      <c r="BX53" s="321"/>
      <c r="BY53" s="321"/>
      <c r="BZ53" s="321"/>
      <c r="CA53" s="321"/>
      <c r="CB53" s="321"/>
      <c r="CC53" s="321"/>
      <c r="CD53" s="321"/>
      <c r="CE53" s="321"/>
      <c r="CF53" s="321"/>
      <c r="CG53" s="321"/>
      <c r="CH53" s="321"/>
      <c r="CI53" s="321"/>
      <c r="CJ53" s="321"/>
      <c r="CK53" s="321"/>
      <c r="CL53" s="321"/>
      <c r="CM53" s="321"/>
      <c r="CN53" s="321"/>
      <c r="CO53" s="321"/>
      <c r="CP53" s="321"/>
      <c r="CQ53" s="321"/>
      <c r="CR53" s="321"/>
      <c r="CS53" s="321"/>
      <c r="CT53" s="321"/>
      <c r="CU53" s="321"/>
      <c r="CV53" s="321"/>
      <c r="CW53" s="321"/>
      <c r="CX53" s="321"/>
      <c r="CY53" s="321"/>
      <c r="CZ53" s="321"/>
      <c r="DA53" s="321"/>
      <c r="DB53" s="321"/>
      <c r="DC53" s="321"/>
      <c r="DD53" s="321"/>
      <c r="DE53" s="321"/>
      <c r="DF53" s="321"/>
      <c r="DG53" s="321"/>
      <c r="DH53" s="321"/>
      <c r="DI53" s="321"/>
      <c r="DJ53" s="321"/>
    </row>
    <row r="54" spans="1:114" s="322" customFormat="1" ht="20.100000000000001" customHeight="1" x14ac:dyDescent="0.2">
      <c r="A54" s="321"/>
      <c r="B54" s="323"/>
      <c r="C54" s="323"/>
      <c r="D54" s="323"/>
      <c r="E54" s="323"/>
      <c r="F54" s="323"/>
      <c r="G54" s="323"/>
      <c r="H54" s="323"/>
      <c r="I54" s="323"/>
      <c r="J54" s="323"/>
      <c r="K54" s="323"/>
      <c r="L54" s="323"/>
      <c r="M54" s="651"/>
      <c r="N54" s="323"/>
      <c r="O54" s="323"/>
      <c r="P54" s="323"/>
      <c r="Q54" s="323"/>
      <c r="BE54" s="321"/>
      <c r="BF54" s="321"/>
      <c r="BG54" s="321"/>
      <c r="BH54" s="321"/>
      <c r="BI54" s="321"/>
      <c r="BJ54" s="321"/>
      <c r="BK54" s="321"/>
      <c r="BL54" s="321"/>
      <c r="BM54" s="321"/>
      <c r="BN54" s="321"/>
      <c r="BO54" s="321"/>
      <c r="BP54" s="321"/>
      <c r="BQ54" s="321"/>
      <c r="BR54" s="321"/>
      <c r="BS54" s="321"/>
      <c r="BT54" s="321"/>
      <c r="BU54" s="321"/>
      <c r="BV54" s="321"/>
      <c r="BW54" s="321"/>
      <c r="BX54" s="321"/>
      <c r="BY54" s="321"/>
      <c r="BZ54" s="321"/>
      <c r="CA54" s="321"/>
      <c r="CB54" s="321"/>
      <c r="CC54" s="321"/>
      <c r="CD54" s="321"/>
      <c r="CE54" s="321"/>
      <c r="CF54" s="321"/>
      <c r="CG54" s="321"/>
      <c r="CH54" s="321"/>
      <c r="CI54" s="321"/>
      <c r="CJ54" s="321"/>
      <c r="CK54" s="321"/>
      <c r="CL54" s="321"/>
      <c r="CM54" s="321"/>
      <c r="CN54" s="321"/>
      <c r="CO54" s="321"/>
      <c r="CP54" s="321"/>
      <c r="CQ54" s="321"/>
      <c r="CR54" s="321"/>
      <c r="CS54" s="321"/>
      <c r="CT54" s="321"/>
      <c r="CU54" s="321"/>
      <c r="CV54" s="321"/>
      <c r="CW54" s="321"/>
      <c r="CX54" s="321"/>
      <c r="CY54" s="321"/>
      <c r="CZ54" s="321"/>
      <c r="DA54" s="321"/>
      <c r="DB54" s="321"/>
      <c r="DC54" s="321"/>
      <c r="DD54" s="321"/>
      <c r="DE54" s="321"/>
      <c r="DF54" s="321"/>
      <c r="DG54" s="321"/>
      <c r="DH54" s="321"/>
      <c r="DI54" s="321"/>
      <c r="DJ54" s="321"/>
    </row>
    <row r="55" spans="1:114" s="322" customFormat="1" ht="20.100000000000001" customHeight="1" x14ac:dyDescent="0.2">
      <c r="A55" s="321"/>
      <c r="B55" s="323"/>
      <c r="C55" s="323"/>
      <c r="D55" s="323"/>
      <c r="E55" s="323"/>
      <c r="F55" s="323"/>
      <c r="G55" s="323"/>
      <c r="H55" s="323"/>
      <c r="I55" s="323"/>
      <c r="J55" s="323"/>
      <c r="K55" s="323"/>
      <c r="L55" s="323"/>
      <c r="M55" s="651"/>
      <c r="N55" s="323"/>
      <c r="O55" s="323"/>
      <c r="P55" s="323"/>
      <c r="Q55" s="323"/>
      <c r="BE55" s="321"/>
      <c r="BF55" s="321"/>
      <c r="BG55" s="321"/>
      <c r="BH55" s="321"/>
      <c r="BI55" s="321"/>
      <c r="BJ55" s="321"/>
      <c r="BK55" s="321"/>
      <c r="BL55" s="321"/>
      <c r="BM55" s="321"/>
      <c r="BN55" s="321"/>
      <c r="BO55" s="321"/>
      <c r="BP55" s="321"/>
      <c r="BQ55" s="321"/>
      <c r="BR55" s="321"/>
      <c r="BS55" s="321"/>
      <c r="BT55" s="321"/>
      <c r="BU55" s="321"/>
      <c r="BV55" s="321"/>
      <c r="BW55" s="321"/>
      <c r="BX55" s="321"/>
      <c r="BY55" s="321"/>
      <c r="BZ55" s="321"/>
      <c r="CA55" s="321"/>
      <c r="CB55" s="321"/>
      <c r="CC55" s="321"/>
      <c r="CD55" s="321"/>
      <c r="CE55" s="321"/>
      <c r="CF55" s="321"/>
      <c r="CG55" s="321"/>
      <c r="CH55" s="321"/>
      <c r="CI55" s="321"/>
      <c r="CJ55" s="321"/>
      <c r="CK55" s="321"/>
      <c r="CL55" s="321"/>
      <c r="CM55" s="321"/>
      <c r="CN55" s="321"/>
      <c r="CO55" s="321"/>
      <c r="CP55" s="321"/>
      <c r="CQ55" s="321"/>
      <c r="CR55" s="321"/>
      <c r="CS55" s="321"/>
      <c r="CT55" s="321"/>
      <c r="CU55" s="321"/>
      <c r="CV55" s="321"/>
      <c r="CW55" s="321"/>
      <c r="CX55" s="321"/>
      <c r="CY55" s="321"/>
      <c r="CZ55" s="321"/>
      <c r="DA55" s="321"/>
      <c r="DB55" s="321"/>
      <c r="DC55" s="321"/>
      <c r="DD55" s="321"/>
      <c r="DE55" s="321"/>
      <c r="DF55" s="321"/>
      <c r="DG55" s="321"/>
      <c r="DH55" s="321"/>
      <c r="DI55" s="321"/>
      <c r="DJ55" s="321"/>
    </row>
    <row r="56" spans="1:114" s="322" customFormat="1" ht="20.100000000000001" customHeight="1" x14ac:dyDescent="0.2">
      <c r="A56" s="321"/>
      <c r="B56" s="323"/>
      <c r="C56" s="323"/>
      <c r="D56" s="323"/>
      <c r="E56" s="323"/>
      <c r="F56" s="323"/>
      <c r="G56" s="323"/>
      <c r="H56" s="323"/>
      <c r="I56" s="323"/>
      <c r="J56" s="323"/>
      <c r="K56" s="323"/>
      <c r="L56" s="323"/>
      <c r="M56" s="651"/>
      <c r="N56" s="323"/>
      <c r="O56" s="323"/>
      <c r="P56" s="323"/>
      <c r="Q56" s="323"/>
      <c r="BE56" s="321"/>
      <c r="BF56" s="321"/>
      <c r="BG56" s="321"/>
      <c r="BH56" s="321"/>
      <c r="BI56" s="321"/>
      <c r="BJ56" s="321"/>
      <c r="BK56" s="321"/>
      <c r="BL56" s="321"/>
      <c r="BM56" s="321"/>
      <c r="BN56" s="321"/>
      <c r="BO56" s="321"/>
      <c r="BP56" s="321"/>
      <c r="BQ56" s="321"/>
      <c r="BR56" s="321"/>
      <c r="BS56" s="321"/>
      <c r="BT56" s="321"/>
      <c r="BU56" s="321"/>
      <c r="BV56" s="321"/>
      <c r="BW56" s="321"/>
      <c r="BX56" s="321"/>
      <c r="BY56" s="321"/>
      <c r="BZ56" s="321"/>
      <c r="CA56" s="321"/>
      <c r="CB56" s="321"/>
      <c r="CC56" s="321"/>
      <c r="CD56" s="321"/>
      <c r="CE56" s="321"/>
      <c r="CF56" s="321"/>
      <c r="CG56" s="321"/>
      <c r="CH56" s="321"/>
      <c r="CI56" s="321"/>
      <c r="CJ56" s="321"/>
      <c r="CK56" s="321"/>
      <c r="CL56" s="321"/>
      <c r="CM56" s="321"/>
      <c r="CN56" s="321"/>
      <c r="CO56" s="321"/>
      <c r="CP56" s="321"/>
      <c r="CQ56" s="321"/>
      <c r="CR56" s="321"/>
      <c r="CS56" s="321"/>
      <c r="CT56" s="321"/>
      <c r="CU56" s="321"/>
      <c r="CV56" s="321"/>
      <c r="CW56" s="321"/>
      <c r="CX56" s="321"/>
      <c r="CY56" s="321"/>
      <c r="CZ56" s="321"/>
      <c r="DA56" s="321"/>
      <c r="DB56" s="321"/>
      <c r="DC56" s="321"/>
      <c r="DD56" s="321"/>
      <c r="DE56" s="321"/>
      <c r="DF56" s="321"/>
      <c r="DG56" s="321"/>
      <c r="DH56" s="321"/>
      <c r="DI56" s="321"/>
      <c r="DJ56" s="321"/>
    </row>
    <row r="57" spans="1:114" s="322" customFormat="1" ht="20.100000000000001" customHeight="1" x14ac:dyDescent="0.2">
      <c r="A57" s="321"/>
      <c r="B57" s="323"/>
      <c r="C57" s="323"/>
      <c r="D57" s="323"/>
      <c r="E57" s="323"/>
      <c r="F57" s="323"/>
      <c r="G57" s="323"/>
      <c r="H57" s="323"/>
      <c r="I57" s="323"/>
      <c r="J57" s="323"/>
      <c r="K57" s="323"/>
      <c r="L57" s="323"/>
      <c r="M57" s="651"/>
      <c r="N57" s="323"/>
      <c r="O57" s="323"/>
      <c r="P57" s="323"/>
      <c r="Q57" s="323"/>
      <c r="BE57" s="321"/>
      <c r="BF57" s="321"/>
      <c r="BG57" s="321"/>
      <c r="BH57" s="321"/>
      <c r="BI57" s="321"/>
      <c r="BJ57" s="321"/>
      <c r="BK57" s="321"/>
      <c r="BL57" s="321"/>
      <c r="BM57" s="321"/>
      <c r="BN57" s="321"/>
      <c r="BO57" s="321"/>
      <c r="BP57" s="321"/>
      <c r="BQ57" s="321"/>
      <c r="BR57" s="321"/>
      <c r="BS57" s="321"/>
      <c r="BT57" s="321"/>
      <c r="BU57" s="321"/>
      <c r="BV57" s="321"/>
      <c r="BW57" s="321"/>
      <c r="BX57" s="321"/>
      <c r="BY57" s="321"/>
      <c r="BZ57" s="321"/>
      <c r="CA57" s="321"/>
      <c r="CB57" s="321"/>
      <c r="CC57" s="321"/>
      <c r="CD57" s="321"/>
      <c r="CE57" s="321"/>
      <c r="CF57" s="321"/>
      <c r="CG57" s="321"/>
      <c r="CH57" s="321"/>
      <c r="CI57" s="321"/>
      <c r="CJ57" s="321"/>
      <c r="CK57" s="321"/>
      <c r="CL57" s="321"/>
      <c r="CM57" s="321"/>
      <c r="CN57" s="321"/>
      <c r="CO57" s="321"/>
      <c r="CP57" s="321"/>
      <c r="CQ57" s="321"/>
      <c r="CR57" s="321"/>
      <c r="CS57" s="321"/>
      <c r="CT57" s="321"/>
      <c r="CU57" s="321"/>
      <c r="CV57" s="321"/>
      <c r="CW57" s="321"/>
      <c r="CX57" s="321"/>
      <c r="CY57" s="321"/>
      <c r="CZ57" s="321"/>
      <c r="DA57" s="321"/>
      <c r="DB57" s="321"/>
      <c r="DC57" s="321"/>
      <c r="DD57" s="321"/>
      <c r="DE57" s="321"/>
      <c r="DF57" s="321"/>
      <c r="DG57" s="321"/>
      <c r="DH57" s="321"/>
      <c r="DI57" s="321"/>
      <c r="DJ57" s="321"/>
    </row>
    <row r="58" spans="1:114" s="322" customFormat="1" ht="20.100000000000001" customHeight="1" x14ac:dyDescent="0.2">
      <c r="A58" s="321"/>
      <c r="B58" s="323"/>
      <c r="C58" s="323"/>
      <c r="D58" s="323"/>
      <c r="E58" s="323"/>
      <c r="F58" s="323"/>
      <c r="G58" s="323"/>
      <c r="H58" s="323"/>
      <c r="I58" s="323"/>
      <c r="J58" s="323"/>
      <c r="K58" s="323"/>
      <c r="L58" s="323"/>
      <c r="M58" s="651"/>
      <c r="N58" s="323"/>
      <c r="O58" s="323"/>
      <c r="P58" s="323"/>
      <c r="Q58" s="323"/>
      <c r="BE58" s="321"/>
      <c r="BF58" s="321"/>
      <c r="BG58" s="321"/>
      <c r="BH58" s="321"/>
      <c r="BI58" s="321"/>
      <c r="BJ58" s="321"/>
      <c r="BK58" s="321"/>
      <c r="BL58" s="321"/>
      <c r="BM58" s="321"/>
      <c r="BN58" s="321"/>
      <c r="BO58" s="321"/>
      <c r="BP58" s="321"/>
      <c r="BQ58" s="321"/>
      <c r="BR58" s="321"/>
      <c r="BS58" s="321"/>
      <c r="BT58" s="321"/>
      <c r="BU58" s="321"/>
      <c r="BV58" s="321"/>
      <c r="BW58" s="321"/>
      <c r="BX58" s="321"/>
      <c r="BY58" s="321"/>
      <c r="BZ58" s="321"/>
      <c r="CA58" s="321"/>
      <c r="CB58" s="321"/>
      <c r="CC58" s="321"/>
      <c r="CD58" s="321"/>
      <c r="CE58" s="321"/>
      <c r="CF58" s="321"/>
      <c r="CG58" s="321"/>
      <c r="CH58" s="321"/>
      <c r="CI58" s="321"/>
      <c r="CJ58" s="321"/>
      <c r="CK58" s="321"/>
      <c r="CL58" s="321"/>
      <c r="CM58" s="321"/>
      <c r="CN58" s="321"/>
      <c r="CO58" s="321"/>
      <c r="CP58" s="321"/>
      <c r="CQ58" s="321"/>
      <c r="CR58" s="321"/>
      <c r="CS58" s="321"/>
      <c r="CT58" s="321"/>
      <c r="CU58" s="321"/>
      <c r="CV58" s="321"/>
      <c r="CW58" s="321"/>
      <c r="CX58" s="321"/>
      <c r="CY58" s="321"/>
      <c r="CZ58" s="321"/>
      <c r="DA58" s="321"/>
      <c r="DB58" s="321"/>
      <c r="DC58" s="321"/>
      <c r="DD58" s="321"/>
      <c r="DE58" s="321"/>
      <c r="DF58" s="321"/>
      <c r="DG58" s="321"/>
      <c r="DH58" s="321"/>
      <c r="DI58" s="321"/>
      <c r="DJ58" s="321"/>
    </row>
    <row r="59" spans="1:114" ht="20.100000000000001" customHeight="1" x14ac:dyDescent="0.4">
      <c r="BE59" s="317"/>
      <c r="BF59" s="317"/>
      <c r="BG59" s="317"/>
      <c r="BH59" s="317"/>
      <c r="BI59" s="317"/>
      <c r="BJ59" s="317"/>
      <c r="BK59" s="317"/>
      <c r="BL59" s="317"/>
      <c r="BM59" s="317"/>
      <c r="BN59" s="317"/>
      <c r="BO59" s="317"/>
      <c r="BP59" s="317"/>
      <c r="BQ59" s="317"/>
      <c r="BR59" s="317"/>
      <c r="BS59" s="317"/>
      <c r="BT59" s="317"/>
      <c r="BU59" s="317"/>
      <c r="BV59" s="317"/>
      <c r="BW59" s="317"/>
      <c r="BX59" s="317"/>
      <c r="BY59" s="317"/>
      <c r="BZ59" s="317"/>
      <c r="CA59" s="317"/>
      <c r="CB59" s="317"/>
      <c r="CC59" s="317"/>
      <c r="CD59" s="317"/>
      <c r="CE59" s="317"/>
      <c r="CF59" s="317"/>
      <c r="CG59" s="317"/>
      <c r="CH59" s="317"/>
      <c r="CI59" s="317"/>
      <c r="CJ59" s="317"/>
      <c r="CK59" s="317"/>
      <c r="CL59" s="317"/>
      <c r="CM59" s="317"/>
      <c r="CN59" s="317"/>
      <c r="CO59" s="317"/>
      <c r="CP59" s="317"/>
      <c r="CQ59" s="317"/>
      <c r="CR59" s="317"/>
      <c r="CS59" s="317"/>
      <c r="CT59" s="317"/>
      <c r="CU59" s="317"/>
      <c r="CV59" s="317"/>
      <c r="CW59" s="317"/>
      <c r="CX59" s="317"/>
      <c r="CY59" s="317"/>
      <c r="CZ59" s="317"/>
      <c r="DA59" s="317"/>
      <c r="DB59" s="317"/>
      <c r="DC59" s="317"/>
      <c r="DD59" s="317"/>
      <c r="DE59" s="317"/>
      <c r="DF59" s="317"/>
      <c r="DG59" s="317"/>
      <c r="DH59" s="317"/>
      <c r="DI59" s="317"/>
      <c r="DJ59" s="317"/>
    </row>
    <row r="60" spans="1:114" ht="9.9499999999999993" customHeight="1" x14ac:dyDescent="0.4">
      <c r="BE60" s="317"/>
      <c r="BF60" s="317"/>
      <c r="BG60" s="317"/>
      <c r="BH60" s="317"/>
      <c r="BI60" s="317"/>
      <c r="BJ60" s="317"/>
      <c r="BK60" s="317"/>
      <c r="BL60" s="317"/>
      <c r="BM60" s="317"/>
      <c r="BN60" s="317"/>
      <c r="BO60" s="317"/>
      <c r="BP60" s="317"/>
      <c r="BQ60" s="317"/>
      <c r="BR60" s="317"/>
      <c r="BS60" s="317"/>
      <c r="BT60" s="317"/>
      <c r="BU60" s="317"/>
      <c r="BV60" s="317"/>
      <c r="BW60" s="317"/>
      <c r="BX60" s="317"/>
      <c r="BY60" s="317"/>
      <c r="BZ60" s="317"/>
      <c r="CA60" s="317"/>
      <c r="CB60" s="317"/>
      <c r="CC60" s="317"/>
      <c r="CD60" s="317"/>
      <c r="CE60" s="317"/>
      <c r="CF60" s="317"/>
      <c r="CG60" s="317"/>
      <c r="CH60" s="317"/>
      <c r="CI60" s="317"/>
      <c r="CJ60" s="317"/>
      <c r="CK60" s="317"/>
      <c r="CL60" s="317"/>
      <c r="CM60" s="317"/>
      <c r="CN60" s="317"/>
      <c r="CO60" s="317"/>
      <c r="CP60" s="317"/>
      <c r="CQ60" s="317"/>
      <c r="CR60" s="317"/>
      <c r="CS60" s="317"/>
      <c r="CT60" s="317"/>
      <c r="CU60" s="317"/>
      <c r="CV60" s="317"/>
      <c r="CW60" s="317"/>
      <c r="CX60" s="317"/>
      <c r="CY60" s="317"/>
      <c r="CZ60" s="317"/>
      <c r="DA60" s="317"/>
      <c r="DB60" s="317"/>
      <c r="DC60" s="317"/>
      <c r="DD60" s="317"/>
      <c r="DE60" s="317"/>
      <c r="DF60" s="317"/>
      <c r="DG60" s="317"/>
      <c r="DH60" s="317"/>
      <c r="DI60" s="317"/>
      <c r="DJ60" s="317"/>
    </row>
    <row r="61" spans="1:114" ht="20.100000000000001" customHeight="1" x14ac:dyDescent="0.4">
      <c r="BE61" s="317"/>
      <c r="BF61" s="317"/>
      <c r="BG61" s="317"/>
      <c r="BH61" s="317"/>
      <c r="BI61" s="317"/>
      <c r="BJ61" s="317"/>
      <c r="BK61" s="317"/>
      <c r="BL61" s="317"/>
      <c r="BM61" s="317"/>
      <c r="BN61" s="317"/>
      <c r="BO61" s="317"/>
      <c r="BP61" s="317"/>
      <c r="BQ61" s="317"/>
      <c r="BR61" s="317"/>
      <c r="BS61" s="317"/>
      <c r="BT61" s="317"/>
      <c r="BU61" s="317"/>
      <c r="BV61" s="317"/>
      <c r="BW61" s="317"/>
      <c r="BX61" s="317"/>
      <c r="BY61" s="317"/>
      <c r="BZ61" s="317"/>
      <c r="CA61" s="317"/>
      <c r="CB61" s="317"/>
      <c r="CC61" s="317"/>
      <c r="CD61" s="317"/>
      <c r="CE61" s="317"/>
      <c r="CF61" s="317"/>
      <c r="CG61" s="317"/>
      <c r="CH61" s="317"/>
      <c r="CI61" s="317"/>
      <c r="CJ61" s="317"/>
      <c r="CK61" s="317"/>
      <c r="CL61" s="317"/>
      <c r="CM61" s="317"/>
      <c r="CN61" s="317"/>
      <c r="CO61" s="317"/>
      <c r="CP61" s="317"/>
      <c r="CQ61" s="317"/>
      <c r="CR61" s="317"/>
      <c r="CS61" s="317"/>
      <c r="CT61" s="317"/>
      <c r="CU61" s="317"/>
      <c r="CV61" s="317"/>
      <c r="CW61" s="317"/>
      <c r="CX61" s="317"/>
      <c r="CY61" s="317"/>
      <c r="CZ61" s="317"/>
      <c r="DA61" s="317"/>
      <c r="DB61" s="317"/>
      <c r="DC61" s="317"/>
      <c r="DD61" s="317"/>
      <c r="DE61" s="317"/>
      <c r="DF61" s="317"/>
      <c r="DG61" s="317"/>
      <c r="DH61" s="317"/>
      <c r="DI61" s="317"/>
      <c r="DJ61" s="317"/>
    </row>
    <row r="62" spans="1:114" ht="20.100000000000001" customHeight="1" x14ac:dyDescent="0.4">
      <c r="BE62" s="317"/>
      <c r="BF62" s="317"/>
      <c r="BG62" s="317"/>
      <c r="BH62" s="317"/>
      <c r="BI62" s="317"/>
      <c r="BJ62" s="317"/>
      <c r="BK62" s="317"/>
      <c r="BL62" s="317"/>
      <c r="BM62" s="317"/>
      <c r="BN62" s="317"/>
      <c r="BO62" s="317"/>
      <c r="BP62" s="317"/>
      <c r="BQ62" s="317"/>
      <c r="BR62" s="317"/>
      <c r="BS62" s="317"/>
      <c r="BT62" s="317"/>
      <c r="BU62" s="317"/>
      <c r="BV62" s="317"/>
      <c r="BW62" s="317"/>
      <c r="BX62" s="317"/>
      <c r="BY62" s="317"/>
      <c r="BZ62" s="317"/>
      <c r="CA62" s="317"/>
      <c r="CB62" s="317"/>
      <c r="CC62" s="317"/>
      <c r="CD62" s="317"/>
      <c r="CE62" s="317"/>
      <c r="CF62" s="317"/>
      <c r="CG62" s="317"/>
      <c r="CH62" s="317"/>
      <c r="CI62" s="317"/>
      <c r="CJ62" s="317"/>
      <c r="CK62" s="317"/>
      <c r="CL62" s="317"/>
      <c r="CM62" s="317"/>
      <c r="CN62" s="317"/>
      <c r="CO62" s="317"/>
      <c r="CP62" s="317"/>
      <c r="CQ62" s="317"/>
      <c r="CR62" s="317"/>
      <c r="CS62" s="317"/>
      <c r="CT62" s="317"/>
      <c r="CU62" s="317"/>
      <c r="CV62" s="317"/>
      <c r="CW62" s="317"/>
      <c r="CX62" s="317"/>
      <c r="CY62" s="317"/>
      <c r="CZ62" s="317"/>
      <c r="DA62" s="317"/>
      <c r="DB62" s="317"/>
      <c r="DC62" s="317"/>
      <c r="DD62" s="317"/>
      <c r="DE62" s="317"/>
      <c r="DF62" s="317"/>
      <c r="DG62" s="317"/>
      <c r="DH62" s="317"/>
      <c r="DI62" s="317"/>
      <c r="DJ62" s="317"/>
    </row>
    <row r="63" spans="1:114" ht="20.100000000000001" customHeight="1" x14ac:dyDescent="0.4">
      <c r="BE63" s="317"/>
      <c r="BF63" s="317"/>
      <c r="BG63" s="317"/>
      <c r="BH63" s="317"/>
      <c r="BI63" s="317"/>
      <c r="BJ63" s="317"/>
      <c r="BK63" s="317"/>
      <c r="BL63" s="317"/>
      <c r="BM63" s="317"/>
      <c r="BN63" s="317"/>
      <c r="BO63" s="317"/>
      <c r="BP63" s="317"/>
      <c r="BQ63" s="317"/>
      <c r="BR63" s="317"/>
      <c r="BS63" s="317"/>
      <c r="BT63" s="317"/>
      <c r="BU63" s="317"/>
      <c r="BV63" s="317"/>
      <c r="BW63" s="317"/>
      <c r="BX63" s="317"/>
      <c r="BY63" s="317"/>
      <c r="BZ63" s="317"/>
      <c r="CA63" s="317"/>
      <c r="CB63" s="317"/>
      <c r="CC63" s="317"/>
      <c r="CD63" s="317"/>
      <c r="CE63" s="317"/>
      <c r="CF63" s="317"/>
      <c r="CG63" s="317"/>
      <c r="CH63" s="317"/>
      <c r="CI63" s="317"/>
      <c r="CJ63" s="317"/>
      <c r="CK63" s="317"/>
      <c r="CL63" s="317"/>
      <c r="CM63" s="317"/>
      <c r="CN63" s="317"/>
      <c r="CO63" s="317"/>
      <c r="CP63" s="317"/>
      <c r="CQ63" s="317"/>
      <c r="CR63" s="317"/>
      <c r="CS63" s="317"/>
      <c r="CT63" s="317"/>
      <c r="CU63" s="317"/>
      <c r="CV63" s="317"/>
      <c r="CW63" s="317"/>
      <c r="CX63" s="317"/>
      <c r="CY63" s="317"/>
      <c r="CZ63" s="317"/>
      <c r="DA63" s="317"/>
      <c r="DB63" s="317"/>
      <c r="DC63" s="317"/>
      <c r="DD63" s="317"/>
      <c r="DE63" s="317"/>
      <c r="DF63" s="317"/>
      <c r="DG63" s="317"/>
      <c r="DH63" s="317"/>
      <c r="DI63" s="317"/>
      <c r="DJ63" s="317"/>
    </row>
    <row r="64" spans="1:114" s="322" customFormat="1" ht="20.100000000000001" customHeight="1" x14ac:dyDescent="0.2">
      <c r="A64" s="321"/>
      <c r="B64" s="323"/>
      <c r="C64" s="323"/>
      <c r="D64" s="323"/>
      <c r="E64" s="323"/>
      <c r="F64" s="323"/>
      <c r="G64" s="323"/>
      <c r="H64" s="323"/>
      <c r="I64" s="323"/>
      <c r="J64" s="323"/>
      <c r="K64" s="323"/>
      <c r="L64" s="323"/>
      <c r="M64" s="651"/>
      <c r="N64" s="323"/>
      <c r="O64" s="323"/>
      <c r="P64" s="323"/>
      <c r="Q64" s="323"/>
      <c r="BE64" s="321"/>
      <c r="BF64" s="321"/>
      <c r="BG64" s="321"/>
      <c r="BH64" s="321"/>
      <c r="BI64" s="321"/>
      <c r="BJ64" s="321"/>
      <c r="BK64" s="321"/>
      <c r="BL64" s="321"/>
      <c r="BM64" s="321"/>
      <c r="BN64" s="321"/>
      <c r="BO64" s="321"/>
      <c r="BP64" s="321"/>
      <c r="BQ64" s="321"/>
      <c r="BR64" s="321"/>
      <c r="BS64" s="321"/>
      <c r="BT64" s="321"/>
      <c r="BU64" s="321"/>
      <c r="BV64" s="321"/>
      <c r="BW64" s="321"/>
      <c r="BX64" s="321"/>
      <c r="BY64" s="321"/>
      <c r="BZ64" s="321"/>
      <c r="CA64" s="321"/>
      <c r="CB64" s="321"/>
      <c r="CC64" s="321"/>
      <c r="CD64" s="321"/>
      <c r="CE64" s="321"/>
      <c r="CF64" s="321"/>
      <c r="CG64" s="321"/>
      <c r="CH64" s="321"/>
      <c r="CI64" s="321"/>
      <c r="CJ64" s="321"/>
      <c r="CK64" s="321"/>
      <c r="CL64" s="321"/>
      <c r="CM64" s="321"/>
      <c r="CN64" s="321"/>
      <c r="CO64" s="321"/>
      <c r="CP64" s="321"/>
      <c r="CQ64" s="321"/>
      <c r="CR64" s="321"/>
      <c r="CS64" s="321"/>
      <c r="CT64" s="321"/>
      <c r="CU64" s="321"/>
      <c r="CV64" s="321"/>
      <c r="CW64" s="321"/>
      <c r="CX64" s="321"/>
      <c r="CY64" s="321"/>
      <c r="CZ64" s="321"/>
      <c r="DA64" s="321"/>
      <c r="DB64" s="321"/>
      <c r="DC64" s="321"/>
      <c r="DD64" s="321"/>
      <c r="DE64" s="321"/>
      <c r="DF64" s="321"/>
      <c r="DG64" s="321"/>
      <c r="DH64" s="321"/>
      <c r="DI64" s="321"/>
      <c r="DJ64" s="321"/>
    </row>
    <row r="65" spans="1:114" s="322" customFormat="1" ht="20.100000000000001" customHeight="1" x14ac:dyDescent="0.2">
      <c r="A65" s="321"/>
      <c r="B65" s="323"/>
      <c r="C65" s="323"/>
      <c r="D65" s="323"/>
      <c r="E65" s="323"/>
      <c r="F65" s="323"/>
      <c r="G65" s="323"/>
      <c r="H65" s="323"/>
      <c r="I65" s="323"/>
      <c r="J65" s="323"/>
      <c r="K65" s="323"/>
      <c r="L65" s="323"/>
      <c r="M65" s="651"/>
      <c r="N65" s="323"/>
      <c r="O65" s="323"/>
      <c r="P65" s="323"/>
      <c r="Q65" s="323"/>
      <c r="BE65" s="321"/>
      <c r="BF65" s="321"/>
      <c r="BG65" s="321"/>
      <c r="BH65" s="321"/>
      <c r="BI65" s="321"/>
      <c r="BJ65" s="321"/>
      <c r="BK65" s="321"/>
      <c r="BL65" s="321"/>
      <c r="BM65" s="321"/>
      <c r="BN65" s="321"/>
      <c r="BO65" s="321"/>
      <c r="BP65" s="321"/>
      <c r="BQ65" s="321"/>
      <c r="BR65" s="321"/>
      <c r="BS65" s="321"/>
      <c r="BT65" s="321"/>
      <c r="BU65" s="321"/>
      <c r="BV65" s="321"/>
      <c r="BW65" s="321"/>
      <c r="BX65" s="321"/>
      <c r="BY65" s="321"/>
      <c r="BZ65" s="321"/>
      <c r="CA65" s="321"/>
      <c r="CB65" s="321"/>
      <c r="CC65" s="321"/>
      <c r="CD65" s="321"/>
      <c r="CE65" s="321"/>
      <c r="CF65" s="321"/>
      <c r="CG65" s="321"/>
      <c r="CH65" s="321"/>
      <c r="CI65" s="321"/>
      <c r="CJ65" s="321"/>
      <c r="CK65" s="321"/>
      <c r="CL65" s="321"/>
      <c r="CM65" s="321"/>
      <c r="CN65" s="321"/>
      <c r="CO65" s="321"/>
      <c r="CP65" s="321"/>
      <c r="CQ65" s="321"/>
      <c r="CR65" s="321"/>
      <c r="CS65" s="321"/>
      <c r="CT65" s="321"/>
      <c r="CU65" s="321"/>
      <c r="CV65" s="321"/>
      <c r="CW65" s="321"/>
      <c r="CX65" s="321"/>
      <c r="CY65" s="321"/>
      <c r="CZ65" s="321"/>
      <c r="DA65" s="321"/>
      <c r="DB65" s="321"/>
      <c r="DC65" s="321"/>
      <c r="DD65" s="321"/>
      <c r="DE65" s="321"/>
      <c r="DF65" s="321"/>
      <c r="DG65" s="321"/>
      <c r="DH65" s="321"/>
      <c r="DI65" s="321"/>
      <c r="DJ65" s="321"/>
    </row>
    <row r="66" spans="1:114" s="322" customFormat="1" ht="20.100000000000001" customHeight="1" x14ac:dyDescent="0.2">
      <c r="A66" s="321"/>
      <c r="B66" s="323"/>
      <c r="C66" s="323"/>
      <c r="D66" s="323"/>
      <c r="E66" s="323"/>
      <c r="F66" s="323"/>
      <c r="G66" s="323"/>
      <c r="H66" s="323"/>
      <c r="I66" s="323"/>
      <c r="J66" s="323"/>
      <c r="K66" s="323"/>
      <c r="L66" s="323"/>
      <c r="M66" s="651"/>
      <c r="N66" s="323"/>
      <c r="O66" s="323"/>
      <c r="P66" s="323"/>
      <c r="Q66" s="323"/>
      <c r="BE66" s="321"/>
      <c r="BF66" s="321"/>
      <c r="BG66" s="321"/>
      <c r="BH66" s="321"/>
      <c r="BI66" s="321"/>
      <c r="BJ66" s="321"/>
      <c r="BK66" s="321"/>
      <c r="BL66" s="321"/>
      <c r="BM66" s="321"/>
      <c r="BN66" s="321"/>
      <c r="BO66" s="321"/>
      <c r="BP66" s="321"/>
      <c r="BQ66" s="321"/>
      <c r="BR66" s="321"/>
      <c r="BS66" s="321"/>
      <c r="BT66" s="321"/>
      <c r="BU66" s="321"/>
      <c r="BV66" s="321"/>
      <c r="BW66" s="321"/>
      <c r="BX66" s="321"/>
      <c r="BY66" s="321"/>
      <c r="BZ66" s="321"/>
      <c r="CA66" s="321"/>
      <c r="CB66" s="321"/>
      <c r="CC66" s="321"/>
      <c r="CD66" s="321"/>
      <c r="CE66" s="321"/>
      <c r="CF66" s="321"/>
      <c r="CG66" s="321"/>
      <c r="CH66" s="321"/>
      <c r="CI66" s="321"/>
      <c r="CJ66" s="321"/>
      <c r="CK66" s="321"/>
      <c r="CL66" s="321"/>
      <c r="CM66" s="321"/>
      <c r="CN66" s="321"/>
      <c r="CO66" s="321"/>
      <c r="CP66" s="321"/>
      <c r="CQ66" s="321"/>
      <c r="CR66" s="321"/>
      <c r="CS66" s="321"/>
      <c r="CT66" s="321"/>
      <c r="CU66" s="321"/>
      <c r="CV66" s="321"/>
      <c r="CW66" s="321"/>
      <c r="CX66" s="321"/>
      <c r="CY66" s="321"/>
      <c r="CZ66" s="321"/>
      <c r="DA66" s="321"/>
      <c r="DB66" s="321"/>
      <c r="DC66" s="321"/>
      <c r="DD66" s="321"/>
      <c r="DE66" s="321"/>
      <c r="DF66" s="321"/>
      <c r="DG66" s="321"/>
      <c r="DH66" s="321"/>
      <c r="DI66" s="321"/>
      <c r="DJ66" s="321"/>
    </row>
    <row r="67" spans="1:114" s="322" customFormat="1" ht="20.100000000000001" customHeight="1" x14ac:dyDescent="0.2">
      <c r="A67" s="321"/>
      <c r="B67" s="323"/>
      <c r="C67" s="323"/>
      <c r="D67" s="323"/>
      <c r="E67" s="323"/>
      <c r="F67" s="323"/>
      <c r="G67" s="323"/>
      <c r="H67" s="323"/>
      <c r="I67" s="323"/>
      <c r="J67" s="323"/>
      <c r="K67" s="323"/>
      <c r="L67" s="323"/>
      <c r="M67" s="651"/>
      <c r="N67" s="323"/>
      <c r="O67" s="323"/>
      <c r="P67" s="323"/>
      <c r="Q67" s="323"/>
      <c r="BE67" s="321"/>
      <c r="BF67" s="321"/>
      <c r="BG67" s="321"/>
      <c r="BH67" s="321"/>
      <c r="BI67" s="321"/>
      <c r="BJ67" s="321"/>
      <c r="BK67" s="321"/>
      <c r="BL67" s="321"/>
      <c r="BM67" s="321"/>
      <c r="BN67" s="321"/>
      <c r="BO67" s="321"/>
      <c r="BP67" s="321"/>
      <c r="BQ67" s="321"/>
      <c r="BR67" s="321"/>
      <c r="BS67" s="321"/>
      <c r="BT67" s="321"/>
      <c r="BU67" s="321"/>
      <c r="BV67" s="321"/>
      <c r="BW67" s="321"/>
      <c r="BX67" s="321"/>
      <c r="BY67" s="321"/>
      <c r="BZ67" s="321"/>
      <c r="CA67" s="321"/>
      <c r="CB67" s="321"/>
      <c r="CC67" s="321"/>
      <c r="CD67" s="321"/>
      <c r="CE67" s="321"/>
      <c r="CF67" s="321"/>
      <c r="CG67" s="321"/>
      <c r="CH67" s="321"/>
      <c r="CI67" s="321"/>
      <c r="CJ67" s="321"/>
      <c r="CK67" s="321"/>
      <c r="CL67" s="321"/>
      <c r="CM67" s="321"/>
      <c r="CN67" s="321"/>
      <c r="CO67" s="321"/>
      <c r="CP67" s="321"/>
      <c r="CQ67" s="321"/>
      <c r="CR67" s="321"/>
      <c r="CS67" s="321"/>
      <c r="CT67" s="321"/>
      <c r="CU67" s="321"/>
      <c r="CV67" s="321"/>
      <c r="CW67" s="321"/>
      <c r="CX67" s="321"/>
      <c r="CY67" s="321"/>
      <c r="CZ67" s="321"/>
      <c r="DA67" s="321"/>
      <c r="DB67" s="321"/>
      <c r="DC67" s="321"/>
      <c r="DD67" s="321"/>
      <c r="DE67" s="321"/>
      <c r="DF67" s="321"/>
      <c r="DG67" s="321"/>
      <c r="DH67" s="321"/>
      <c r="DI67" s="321"/>
      <c r="DJ67" s="321"/>
    </row>
    <row r="68" spans="1:114" s="322" customFormat="1" ht="20.100000000000001" customHeight="1" x14ac:dyDescent="0.2">
      <c r="A68" s="321"/>
      <c r="B68" s="323"/>
      <c r="C68" s="323"/>
      <c r="D68" s="323"/>
      <c r="E68" s="323"/>
      <c r="F68" s="323"/>
      <c r="G68" s="323"/>
      <c r="H68" s="323"/>
      <c r="I68" s="323"/>
      <c r="J68" s="323"/>
      <c r="K68" s="323"/>
      <c r="L68" s="323"/>
      <c r="M68" s="651"/>
      <c r="N68" s="323"/>
      <c r="O68" s="323"/>
      <c r="P68" s="323"/>
      <c r="Q68" s="323"/>
      <c r="BE68" s="321"/>
      <c r="BF68" s="321"/>
      <c r="BG68" s="321"/>
      <c r="BH68" s="321"/>
      <c r="BI68" s="321"/>
      <c r="BJ68" s="321"/>
      <c r="BK68" s="321"/>
      <c r="BL68" s="321"/>
      <c r="BM68" s="321"/>
      <c r="BN68" s="321"/>
      <c r="BO68" s="321"/>
      <c r="BP68" s="321"/>
      <c r="BQ68" s="321"/>
      <c r="BR68" s="321"/>
      <c r="BS68" s="321"/>
      <c r="BT68" s="321"/>
      <c r="BU68" s="321"/>
      <c r="BV68" s="321"/>
      <c r="BW68" s="321"/>
      <c r="BX68" s="321"/>
      <c r="BY68" s="321"/>
      <c r="BZ68" s="321"/>
      <c r="CA68" s="321"/>
      <c r="CB68" s="321"/>
      <c r="CC68" s="321"/>
      <c r="CD68" s="321"/>
      <c r="CE68" s="321"/>
      <c r="CF68" s="321"/>
      <c r="CG68" s="321"/>
      <c r="CH68" s="321"/>
      <c r="CI68" s="321"/>
      <c r="CJ68" s="321"/>
      <c r="CK68" s="321"/>
      <c r="CL68" s="321"/>
      <c r="CM68" s="321"/>
      <c r="CN68" s="321"/>
      <c r="CO68" s="321"/>
      <c r="CP68" s="321"/>
      <c r="CQ68" s="321"/>
      <c r="CR68" s="321"/>
      <c r="CS68" s="321"/>
      <c r="CT68" s="321"/>
      <c r="CU68" s="321"/>
      <c r="CV68" s="321"/>
      <c r="CW68" s="321"/>
      <c r="CX68" s="321"/>
      <c r="CY68" s="321"/>
      <c r="CZ68" s="321"/>
      <c r="DA68" s="321"/>
      <c r="DB68" s="321"/>
      <c r="DC68" s="321"/>
      <c r="DD68" s="321"/>
      <c r="DE68" s="321"/>
      <c r="DF68" s="321"/>
      <c r="DG68" s="321"/>
      <c r="DH68" s="321"/>
      <c r="DI68" s="321"/>
      <c r="DJ68" s="321"/>
    </row>
    <row r="69" spans="1:114" s="322" customFormat="1" ht="20.100000000000001" customHeight="1" x14ac:dyDescent="0.2">
      <c r="A69" s="321"/>
      <c r="B69" s="323"/>
      <c r="C69" s="323"/>
      <c r="D69" s="323"/>
      <c r="E69" s="323"/>
      <c r="F69" s="323"/>
      <c r="G69" s="323"/>
      <c r="H69" s="323"/>
      <c r="I69" s="323"/>
      <c r="J69" s="323"/>
      <c r="K69" s="323"/>
      <c r="L69" s="323"/>
      <c r="M69" s="651"/>
      <c r="N69" s="323"/>
      <c r="O69" s="323"/>
      <c r="P69" s="323"/>
      <c r="Q69" s="323"/>
      <c r="BE69" s="321"/>
      <c r="BF69" s="321"/>
      <c r="BG69" s="321"/>
      <c r="BH69" s="321"/>
      <c r="BI69" s="321"/>
      <c r="BJ69" s="321"/>
      <c r="BK69" s="321"/>
      <c r="BL69" s="321"/>
      <c r="BM69" s="321"/>
      <c r="BN69" s="321"/>
      <c r="BO69" s="321"/>
      <c r="BP69" s="321"/>
      <c r="BQ69" s="321"/>
      <c r="BR69" s="321"/>
      <c r="BS69" s="321"/>
      <c r="BT69" s="321"/>
      <c r="BU69" s="321"/>
      <c r="BV69" s="321"/>
      <c r="BW69" s="321"/>
      <c r="BX69" s="321"/>
      <c r="BY69" s="321"/>
      <c r="BZ69" s="321"/>
      <c r="CA69" s="321"/>
      <c r="CB69" s="321"/>
      <c r="CC69" s="321"/>
      <c r="CD69" s="321"/>
      <c r="CE69" s="321"/>
      <c r="CF69" s="321"/>
      <c r="CG69" s="321"/>
      <c r="CH69" s="321"/>
      <c r="CI69" s="321"/>
      <c r="CJ69" s="321"/>
      <c r="CK69" s="321"/>
      <c r="CL69" s="321"/>
      <c r="CM69" s="321"/>
      <c r="CN69" s="321"/>
      <c r="CO69" s="321"/>
      <c r="CP69" s="321"/>
      <c r="CQ69" s="321"/>
      <c r="CR69" s="321"/>
      <c r="CS69" s="321"/>
      <c r="CT69" s="321"/>
      <c r="CU69" s="321"/>
      <c r="CV69" s="321"/>
      <c r="CW69" s="321"/>
      <c r="CX69" s="321"/>
      <c r="CY69" s="321"/>
      <c r="CZ69" s="321"/>
      <c r="DA69" s="321"/>
      <c r="DB69" s="321"/>
      <c r="DC69" s="321"/>
      <c r="DD69" s="321"/>
      <c r="DE69" s="321"/>
      <c r="DF69" s="321"/>
      <c r="DG69" s="321"/>
      <c r="DH69" s="321"/>
      <c r="DI69" s="321"/>
      <c r="DJ69" s="321"/>
    </row>
    <row r="70" spans="1:114" s="322" customFormat="1" ht="20.100000000000001" customHeight="1" x14ac:dyDescent="0.2">
      <c r="A70" s="321"/>
      <c r="B70" s="323"/>
      <c r="C70" s="323"/>
      <c r="D70" s="323"/>
      <c r="E70" s="323"/>
      <c r="F70" s="323"/>
      <c r="G70" s="323"/>
      <c r="H70" s="323"/>
      <c r="I70" s="323"/>
      <c r="J70" s="323"/>
      <c r="K70" s="323"/>
      <c r="L70" s="323"/>
      <c r="M70" s="651"/>
      <c r="N70" s="323"/>
      <c r="O70" s="323"/>
      <c r="P70" s="323"/>
      <c r="Q70" s="323"/>
      <c r="BE70" s="321"/>
      <c r="BF70" s="321"/>
      <c r="BG70" s="321"/>
      <c r="BH70" s="321"/>
      <c r="BI70" s="321"/>
      <c r="BJ70" s="321"/>
      <c r="BK70" s="321"/>
      <c r="BL70" s="321"/>
      <c r="BM70" s="321"/>
      <c r="BN70" s="321"/>
      <c r="BO70" s="321"/>
      <c r="BP70" s="321"/>
      <c r="BQ70" s="321"/>
      <c r="BR70" s="321"/>
      <c r="BS70" s="321"/>
      <c r="BT70" s="321"/>
      <c r="BU70" s="321"/>
      <c r="BV70" s="321"/>
      <c r="BW70" s="321"/>
      <c r="BX70" s="321"/>
      <c r="BY70" s="321"/>
      <c r="BZ70" s="321"/>
      <c r="CA70" s="321"/>
      <c r="CB70" s="321"/>
      <c r="CC70" s="321"/>
      <c r="CD70" s="321"/>
      <c r="CE70" s="321"/>
      <c r="CF70" s="321"/>
      <c r="CG70" s="321"/>
      <c r="CH70" s="321"/>
      <c r="CI70" s="321"/>
      <c r="CJ70" s="321"/>
      <c r="CK70" s="321"/>
      <c r="CL70" s="321"/>
      <c r="CM70" s="321"/>
      <c r="CN70" s="321"/>
      <c r="CO70" s="321"/>
      <c r="CP70" s="321"/>
      <c r="CQ70" s="321"/>
      <c r="CR70" s="321"/>
      <c r="CS70" s="321"/>
      <c r="CT70" s="321"/>
      <c r="CU70" s="321"/>
      <c r="CV70" s="321"/>
      <c r="CW70" s="321"/>
      <c r="CX70" s="321"/>
      <c r="CY70" s="321"/>
      <c r="CZ70" s="321"/>
      <c r="DA70" s="321"/>
      <c r="DB70" s="321"/>
      <c r="DC70" s="321"/>
      <c r="DD70" s="321"/>
      <c r="DE70" s="321"/>
      <c r="DF70" s="321"/>
      <c r="DG70" s="321"/>
      <c r="DH70" s="321"/>
      <c r="DI70" s="321"/>
      <c r="DJ70" s="321"/>
    </row>
    <row r="71" spans="1:114" s="322" customFormat="1" ht="20.100000000000001" customHeight="1" x14ac:dyDescent="0.2">
      <c r="A71" s="321"/>
      <c r="B71" s="323"/>
      <c r="C71" s="323"/>
      <c r="D71" s="323"/>
      <c r="E71" s="323"/>
      <c r="F71" s="323"/>
      <c r="G71" s="323"/>
      <c r="H71" s="323"/>
      <c r="I71" s="323"/>
      <c r="J71" s="323"/>
      <c r="K71" s="323"/>
      <c r="L71" s="323"/>
      <c r="M71" s="651"/>
      <c r="N71" s="323"/>
      <c r="O71" s="323"/>
      <c r="P71" s="323"/>
      <c r="Q71" s="323"/>
      <c r="BE71" s="321"/>
      <c r="BF71" s="321"/>
      <c r="BG71" s="321"/>
      <c r="BH71" s="321"/>
      <c r="BI71" s="321"/>
      <c r="BJ71" s="321"/>
      <c r="BK71" s="321"/>
      <c r="BL71" s="321"/>
      <c r="BM71" s="321"/>
      <c r="BN71" s="321"/>
      <c r="BO71" s="321"/>
      <c r="BP71" s="321"/>
      <c r="BQ71" s="321"/>
      <c r="BR71" s="321"/>
      <c r="BS71" s="321"/>
      <c r="BT71" s="321"/>
      <c r="BU71" s="321"/>
      <c r="BV71" s="321"/>
      <c r="BW71" s="321"/>
      <c r="BX71" s="321"/>
      <c r="BY71" s="321"/>
      <c r="BZ71" s="321"/>
      <c r="CA71" s="321"/>
      <c r="CB71" s="321"/>
      <c r="CC71" s="321"/>
      <c r="CD71" s="321"/>
      <c r="CE71" s="321"/>
      <c r="CF71" s="321"/>
      <c r="CG71" s="321"/>
      <c r="CH71" s="321"/>
      <c r="CI71" s="321"/>
      <c r="CJ71" s="321"/>
      <c r="CK71" s="321"/>
      <c r="CL71" s="321"/>
      <c r="CM71" s="321"/>
      <c r="CN71" s="321"/>
      <c r="CO71" s="321"/>
      <c r="CP71" s="321"/>
      <c r="CQ71" s="321"/>
      <c r="CR71" s="321"/>
      <c r="CS71" s="321"/>
      <c r="CT71" s="321"/>
      <c r="CU71" s="321"/>
      <c r="CV71" s="321"/>
      <c r="CW71" s="321"/>
      <c r="CX71" s="321"/>
      <c r="CY71" s="321"/>
      <c r="CZ71" s="321"/>
      <c r="DA71" s="321"/>
      <c r="DB71" s="321"/>
      <c r="DC71" s="321"/>
      <c r="DD71" s="321"/>
      <c r="DE71" s="321"/>
      <c r="DF71" s="321"/>
      <c r="DG71" s="321"/>
      <c r="DH71" s="321"/>
      <c r="DI71" s="321"/>
      <c r="DJ71" s="321"/>
    </row>
    <row r="72" spans="1:114" s="322" customFormat="1" ht="20.100000000000001" customHeight="1" x14ac:dyDescent="0.2">
      <c r="A72" s="321"/>
      <c r="B72" s="323"/>
      <c r="C72" s="323"/>
      <c r="D72" s="323"/>
      <c r="E72" s="323"/>
      <c r="F72" s="323"/>
      <c r="G72" s="323"/>
      <c r="H72" s="323"/>
      <c r="I72" s="323"/>
      <c r="J72" s="323"/>
      <c r="K72" s="323"/>
      <c r="L72" s="323"/>
      <c r="M72" s="651"/>
      <c r="N72" s="323"/>
      <c r="O72" s="323"/>
      <c r="P72" s="323"/>
      <c r="Q72" s="323"/>
      <c r="BE72" s="321"/>
      <c r="BF72" s="321"/>
      <c r="BG72" s="321"/>
      <c r="BH72" s="321"/>
      <c r="BI72" s="321"/>
      <c r="BJ72" s="321"/>
      <c r="BK72" s="321"/>
      <c r="BL72" s="321"/>
      <c r="BM72" s="321"/>
      <c r="BN72" s="321"/>
      <c r="BO72" s="321"/>
      <c r="BP72" s="321"/>
      <c r="BQ72" s="321"/>
      <c r="BR72" s="321"/>
      <c r="BS72" s="321"/>
      <c r="BT72" s="321"/>
      <c r="BU72" s="321"/>
      <c r="BV72" s="321"/>
      <c r="BW72" s="321"/>
      <c r="BX72" s="321"/>
      <c r="BY72" s="321"/>
      <c r="BZ72" s="321"/>
      <c r="CA72" s="321"/>
      <c r="CB72" s="321"/>
      <c r="CC72" s="321"/>
      <c r="CD72" s="321"/>
      <c r="CE72" s="321"/>
      <c r="CF72" s="321"/>
      <c r="CG72" s="321"/>
      <c r="CH72" s="321"/>
      <c r="CI72" s="321"/>
      <c r="CJ72" s="321"/>
      <c r="CK72" s="321"/>
      <c r="CL72" s="321"/>
      <c r="CM72" s="321"/>
      <c r="CN72" s="321"/>
      <c r="CO72" s="321"/>
      <c r="CP72" s="321"/>
      <c r="CQ72" s="321"/>
      <c r="CR72" s="321"/>
      <c r="CS72" s="321"/>
      <c r="CT72" s="321"/>
      <c r="CU72" s="321"/>
      <c r="CV72" s="321"/>
      <c r="CW72" s="321"/>
      <c r="CX72" s="321"/>
      <c r="CY72" s="321"/>
      <c r="CZ72" s="321"/>
      <c r="DA72" s="321"/>
      <c r="DB72" s="321"/>
      <c r="DC72" s="321"/>
      <c r="DD72" s="321"/>
      <c r="DE72" s="321"/>
      <c r="DF72" s="321"/>
      <c r="DG72" s="321"/>
      <c r="DH72" s="321"/>
      <c r="DI72" s="321"/>
      <c r="DJ72" s="321"/>
    </row>
    <row r="73" spans="1:114" s="322" customFormat="1" ht="20.100000000000001" customHeight="1" x14ac:dyDescent="0.2">
      <c r="A73" s="321"/>
      <c r="B73" s="323"/>
      <c r="C73" s="323"/>
      <c r="D73" s="323"/>
      <c r="E73" s="323"/>
      <c r="F73" s="323"/>
      <c r="G73" s="323"/>
      <c r="H73" s="323"/>
      <c r="I73" s="323"/>
      <c r="J73" s="323"/>
      <c r="K73" s="323"/>
      <c r="L73" s="323"/>
      <c r="M73" s="651"/>
      <c r="N73" s="323"/>
      <c r="O73" s="323"/>
      <c r="P73" s="323"/>
      <c r="Q73" s="323"/>
      <c r="BE73" s="321"/>
      <c r="BF73" s="321"/>
      <c r="BG73" s="321"/>
      <c r="BH73" s="321"/>
      <c r="BI73" s="321"/>
      <c r="BJ73" s="321"/>
      <c r="BK73" s="321"/>
      <c r="BL73" s="321"/>
      <c r="BM73" s="321"/>
      <c r="BN73" s="321"/>
      <c r="BO73" s="321"/>
      <c r="BP73" s="321"/>
      <c r="BQ73" s="321"/>
      <c r="BR73" s="321"/>
      <c r="BS73" s="321"/>
      <c r="BT73" s="321"/>
      <c r="BU73" s="321"/>
      <c r="BV73" s="321"/>
      <c r="BW73" s="321"/>
      <c r="BX73" s="321"/>
      <c r="BY73" s="321"/>
      <c r="BZ73" s="321"/>
      <c r="CA73" s="321"/>
      <c r="CB73" s="321"/>
      <c r="CC73" s="321"/>
      <c r="CD73" s="321"/>
      <c r="CE73" s="321"/>
      <c r="CF73" s="321"/>
      <c r="CG73" s="321"/>
      <c r="CH73" s="321"/>
      <c r="CI73" s="321"/>
      <c r="CJ73" s="321"/>
      <c r="CK73" s="321"/>
      <c r="CL73" s="321"/>
      <c r="CM73" s="321"/>
      <c r="CN73" s="321"/>
      <c r="CO73" s="321"/>
      <c r="CP73" s="321"/>
      <c r="CQ73" s="321"/>
      <c r="CR73" s="321"/>
      <c r="CS73" s="321"/>
      <c r="CT73" s="321"/>
      <c r="CU73" s="321"/>
      <c r="CV73" s="321"/>
      <c r="CW73" s="321"/>
      <c r="CX73" s="321"/>
      <c r="CY73" s="321"/>
      <c r="CZ73" s="321"/>
      <c r="DA73" s="321"/>
      <c r="DB73" s="321"/>
      <c r="DC73" s="321"/>
      <c r="DD73" s="321"/>
      <c r="DE73" s="321"/>
      <c r="DF73" s="321"/>
      <c r="DG73" s="321"/>
      <c r="DH73" s="321"/>
      <c r="DI73" s="321"/>
      <c r="DJ73" s="321"/>
    </row>
    <row r="74" spans="1:114" s="322" customFormat="1" ht="20.100000000000001" customHeight="1" x14ac:dyDescent="0.2">
      <c r="A74" s="321"/>
      <c r="B74" s="323"/>
      <c r="C74" s="323"/>
      <c r="D74" s="323"/>
      <c r="E74" s="323"/>
      <c r="F74" s="323"/>
      <c r="G74" s="323"/>
      <c r="H74" s="323"/>
      <c r="I74" s="323"/>
      <c r="J74" s="323"/>
      <c r="K74" s="323"/>
      <c r="L74" s="323"/>
      <c r="M74" s="651"/>
      <c r="N74" s="323"/>
      <c r="O74" s="323"/>
      <c r="P74" s="323"/>
      <c r="Q74" s="323"/>
      <c r="BE74" s="321"/>
      <c r="BF74" s="321"/>
      <c r="BG74" s="321"/>
      <c r="BH74" s="321"/>
      <c r="BI74" s="321"/>
      <c r="BJ74" s="321"/>
      <c r="BK74" s="321"/>
      <c r="BL74" s="321"/>
      <c r="BM74" s="321"/>
      <c r="BN74" s="321"/>
      <c r="BO74" s="321"/>
      <c r="BP74" s="321"/>
      <c r="BQ74" s="321"/>
      <c r="BR74" s="321"/>
      <c r="BS74" s="321"/>
      <c r="BT74" s="321"/>
      <c r="BU74" s="321"/>
      <c r="BV74" s="321"/>
      <c r="BW74" s="321"/>
      <c r="BX74" s="321"/>
      <c r="BY74" s="321"/>
      <c r="BZ74" s="321"/>
      <c r="CA74" s="321"/>
      <c r="CB74" s="321"/>
      <c r="CC74" s="321"/>
      <c r="CD74" s="321"/>
      <c r="CE74" s="321"/>
      <c r="CF74" s="321"/>
      <c r="CG74" s="321"/>
      <c r="CH74" s="321"/>
      <c r="CI74" s="321"/>
      <c r="CJ74" s="321"/>
      <c r="CK74" s="321"/>
      <c r="CL74" s="321"/>
      <c r="CM74" s="321"/>
      <c r="CN74" s="321"/>
      <c r="CO74" s="321"/>
      <c r="CP74" s="321"/>
      <c r="CQ74" s="321"/>
      <c r="CR74" s="321"/>
      <c r="CS74" s="321"/>
      <c r="CT74" s="321"/>
      <c r="CU74" s="321"/>
      <c r="CV74" s="321"/>
      <c r="CW74" s="321"/>
      <c r="CX74" s="321"/>
      <c r="CY74" s="321"/>
      <c r="CZ74" s="321"/>
      <c r="DA74" s="321"/>
      <c r="DB74" s="321"/>
      <c r="DC74" s="321"/>
      <c r="DD74" s="321"/>
      <c r="DE74" s="321"/>
      <c r="DF74" s="321"/>
      <c r="DG74" s="321"/>
      <c r="DH74" s="321"/>
      <c r="DI74" s="321"/>
      <c r="DJ74" s="321"/>
    </row>
    <row r="75" spans="1:114" s="322" customFormat="1" ht="20.100000000000001" customHeight="1" x14ac:dyDescent="0.2">
      <c r="A75" s="321"/>
      <c r="B75" s="323"/>
      <c r="C75" s="323"/>
      <c r="D75" s="323"/>
      <c r="E75" s="323"/>
      <c r="F75" s="323"/>
      <c r="G75" s="323"/>
      <c r="H75" s="323"/>
      <c r="I75" s="323"/>
      <c r="J75" s="323"/>
      <c r="K75" s="323"/>
      <c r="L75" s="323"/>
      <c r="M75" s="651"/>
      <c r="N75" s="323"/>
      <c r="O75" s="323"/>
      <c r="P75" s="323"/>
      <c r="Q75" s="323"/>
      <c r="BE75" s="321"/>
      <c r="BF75" s="321"/>
      <c r="BG75" s="321"/>
      <c r="BH75" s="321"/>
      <c r="BI75" s="321"/>
      <c r="BJ75" s="321"/>
      <c r="BK75" s="321"/>
      <c r="BL75" s="321"/>
      <c r="BM75" s="321"/>
      <c r="BN75" s="321"/>
      <c r="BO75" s="321"/>
      <c r="BP75" s="321"/>
      <c r="BQ75" s="321"/>
      <c r="BR75" s="321"/>
      <c r="BS75" s="321"/>
      <c r="BT75" s="321"/>
      <c r="BU75" s="321"/>
      <c r="BV75" s="321"/>
      <c r="BW75" s="321"/>
      <c r="BX75" s="321"/>
      <c r="BY75" s="321"/>
      <c r="BZ75" s="321"/>
      <c r="CA75" s="321"/>
      <c r="CB75" s="321"/>
      <c r="CC75" s="321"/>
      <c r="CD75" s="321"/>
      <c r="CE75" s="321"/>
      <c r="CF75" s="321"/>
      <c r="CG75" s="321"/>
      <c r="CH75" s="321"/>
      <c r="CI75" s="321"/>
      <c r="CJ75" s="321"/>
      <c r="CK75" s="321"/>
      <c r="CL75" s="321"/>
      <c r="CM75" s="321"/>
      <c r="CN75" s="321"/>
      <c r="CO75" s="321"/>
      <c r="CP75" s="321"/>
      <c r="CQ75" s="321"/>
      <c r="CR75" s="321"/>
      <c r="CS75" s="321"/>
      <c r="CT75" s="321"/>
      <c r="CU75" s="321"/>
      <c r="CV75" s="321"/>
      <c r="CW75" s="321"/>
      <c r="CX75" s="321"/>
      <c r="CY75" s="321"/>
      <c r="CZ75" s="321"/>
      <c r="DA75" s="321"/>
      <c r="DB75" s="321"/>
      <c r="DC75" s="321"/>
      <c r="DD75" s="321"/>
      <c r="DE75" s="321"/>
      <c r="DF75" s="321"/>
      <c r="DG75" s="321"/>
      <c r="DH75" s="321"/>
      <c r="DI75" s="321"/>
      <c r="DJ75" s="321"/>
    </row>
    <row r="76" spans="1:114" s="322" customFormat="1" ht="20.100000000000001" customHeight="1" x14ac:dyDescent="0.2">
      <c r="A76" s="321"/>
      <c r="B76" s="323"/>
      <c r="C76" s="323"/>
      <c r="D76" s="323"/>
      <c r="E76" s="323"/>
      <c r="F76" s="323"/>
      <c r="G76" s="323"/>
      <c r="H76" s="323"/>
      <c r="I76" s="323"/>
      <c r="J76" s="323"/>
      <c r="K76" s="323"/>
      <c r="L76" s="323"/>
      <c r="M76" s="651"/>
      <c r="N76" s="323"/>
      <c r="O76" s="323"/>
      <c r="P76" s="323"/>
      <c r="Q76" s="323"/>
      <c r="BE76" s="321"/>
      <c r="BF76" s="321"/>
      <c r="BG76" s="321"/>
      <c r="BH76" s="321"/>
      <c r="BI76" s="321"/>
      <c r="BJ76" s="321"/>
      <c r="BK76" s="321"/>
      <c r="BL76" s="321"/>
      <c r="BM76" s="321"/>
      <c r="BN76" s="321"/>
      <c r="BO76" s="321"/>
      <c r="BP76" s="321"/>
      <c r="BQ76" s="321"/>
      <c r="BR76" s="321"/>
      <c r="BS76" s="321"/>
      <c r="BT76" s="321"/>
      <c r="BU76" s="321"/>
      <c r="BV76" s="321"/>
      <c r="BW76" s="321"/>
      <c r="BX76" s="321"/>
      <c r="BY76" s="321"/>
      <c r="BZ76" s="321"/>
      <c r="CA76" s="321"/>
      <c r="CB76" s="321"/>
      <c r="CC76" s="321"/>
      <c r="CD76" s="321"/>
      <c r="CE76" s="321"/>
      <c r="CF76" s="321"/>
      <c r="CG76" s="321"/>
      <c r="CH76" s="321"/>
      <c r="CI76" s="321"/>
      <c r="CJ76" s="321"/>
      <c r="CK76" s="321"/>
      <c r="CL76" s="321"/>
      <c r="CM76" s="321"/>
      <c r="CN76" s="321"/>
      <c r="CO76" s="321"/>
      <c r="CP76" s="321"/>
      <c r="CQ76" s="321"/>
      <c r="CR76" s="321"/>
      <c r="CS76" s="321"/>
      <c r="CT76" s="321"/>
      <c r="CU76" s="321"/>
      <c r="CV76" s="321"/>
      <c r="CW76" s="321"/>
      <c r="CX76" s="321"/>
      <c r="CY76" s="321"/>
      <c r="CZ76" s="321"/>
      <c r="DA76" s="321"/>
      <c r="DB76" s="321"/>
      <c r="DC76" s="321"/>
      <c r="DD76" s="321"/>
      <c r="DE76" s="321"/>
      <c r="DF76" s="321"/>
      <c r="DG76" s="321"/>
      <c r="DH76" s="321"/>
      <c r="DI76" s="321"/>
      <c r="DJ76" s="321"/>
    </row>
    <row r="77" spans="1:114" s="322" customFormat="1" ht="20.100000000000001" customHeight="1" x14ac:dyDescent="0.2">
      <c r="A77" s="321"/>
      <c r="B77" s="323"/>
      <c r="C77" s="323"/>
      <c r="D77" s="323"/>
      <c r="E77" s="323"/>
      <c r="F77" s="323"/>
      <c r="G77" s="323"/>
      <c r="H77" s="323"/>
      <c r="I77" s="323"/>
      <c r="J77" s="323"/>
      <c r="K77" s="323"/>
      <c r="L77" s="323"/>
      <c r="M77" s="651"/>
      <c r="N77" s="323"/>
      <c r="O77" s="323"/>
      <c r="P77" s="323"/>
      <c r="Q77" s="323"/>
      <c r="BE77" s="321"/>
      <c r="BF77" s="321"/>
      <c r="BG77" s="321"/>
      <c r="BH77" s="321"/>
      <c r="BI77" s="321"/>
      <c r="BJ77" s="321"/>
      <c r="BK77" s="321"/>
      <c r="BL77" s="321"/>
      <c r="BM77" s="321"/>
      <c r="BN77" s="321"/>
      <c r="BO77" s="321"/>
      <c r="BP77" s="321"/>
      <c r="BQ77" s="321"/>
      <c r="BR77" s="321"/>
      <c r="BS77" s="321"/>
      <c r="BT77" s="321"/>
      <c r="BU77" s="321"/>
      <c r="BV77" s="321"/>
      <c r="BW77" s="321"/>
      <c r="BX77" s="321"/>
      <c r="BY77" s="321"/>
      <c r="BZ77" s="321"/>
      <c r="CA77" s="321"/>
      <c r="CB77" s="321"/>
      <c r="CC77" s="321"/>
      <c r="CD77" s="321"/>
      <c r="CE77" s="321"/>
      <c r="CF77" s="321"/>
      <c r="CG77" s="321"/>
      <c r="CH77" s="321"/>
      <c r="CI77" s="321"/>
      <c r="CJ77" s="321"/>
      <c r="CK77" s="321"/>
      <c r="CL77" s="321"/>
      <c r="CM77" s="321"/>
      <c r="CN77" s="321"/>
      <c r="CO77" s="321"/>
      <c r="CP77" s="321"/>
      <c r="CQ77" s="321"/>
      <c r="CR77" s="321"/>
      <c r="CS77" s="321"/>
      <c r="CT77" s="321"/>
      <c r="CU77" s="321"/>
      <c r="CV77" s="321"/>
      <c r="CW77" s="321"/>
      <c r="CX77" s="321"/>
      <c r="CY77" s="321"/>
      <c r="CZ77" s="321"/>
      <c r="DA77" s="321"/>
      <c r="DB77" s="321"/>
      <c r="DC77" s="321"/>
      <c r="DD77" s="321"/>
      <c r="DE77" s="321"/>
      <c r="DF77" s="321"/>
      <c r="DG77" s="321"/>
      <c r="DH77" s="321"/>
      <c r="DI77" s="321"/>
      <c r="DJ77" s="321"/>
    </row>
    <row r="78" spans="1:114" s="322" customFormat="1" ht="20.100000000000001" customHeight="1" x14ac:dyDescent="0.2">
      <c r="A78" s="321"/>
      <c r="B78" s="323"/>
      <c r="C78" s="323"/>
      <c r="D78" s="323"/>
      <c r="E78" s="323"/>
      <c r="F78" s="323"/>
      <c r="G78" s="323"/>
      <c r="H78" s="323"/>
      <c r="I78" s="323"/>
      <c r="J78" s="323"/>
      <c r="K78" s="323"/>
      <c r="L78" s="323"/>
      <c r="M78" s="651"/>
      <c r="N78" s="323"/>
      <c r="O78" s="323"/>
      <c r="P78" s="323"/>
      <c r="Q78" s="323"/>
      <c r="BE78" s="321"/>
      <c r="BF78" s="321"/>
      <c r="BG78" s="321"/>
      <c r="BH78" s="321"/>
      <c r="BI78" s="321"/>
      <c r="BJ78" s="321"/>
      <c r="BK78" s="321"/>
      <c r="BL78" s="321"/>
      <c r="BM78" s="321"/>
      <c r="BN78" s="321"/>
      <c r="BO78" s="321"/>
      <c r="BP78" s="321"/>
      <c r="BQ78" s="321"/>
      <c r="BR78" s="321"/>
      <c r="BS78" s="321"/>
      <c r="BT78" s="321"/>
      <c r="BU78" s="321"/>
      <c r="BV78" s="321"/>
      <c r="BW78" s="321"/>
      <c r="BX78" s="321"/>
      <c r="BY78" s="321"/>
      <c r="BZ78" s="321"/>
      <c r="CA78" s="321"/>
      <c r="CB78" s="321"/>
      <c r="CC78" s="321"/>
      <c r="CD78" s="321"/>
      <c r="CE78" s="321"/>
      <c r="CF78" s="321"/>
      <c r="CG78" s="321"/>
      <c r="CH78" s="321"/>
      <c r="CI78" s="321"/>
      <c r="CJ78" s="321"/>
      <c r="CK78" s="321"/>
      <c r="CL78" s="321"/>
      <c r="CM78" s="321"/>
      <c r="CN78" s="321"/>
      <c r="CO78" s="321"/>
      <c r="CP78" s="321"/>
      <c r="CQ78" s="321"/>
      <c r="CR78" s="321"/>
      <c r="CS78" s="321"/>
      <c r="CT78" s="321"/>
      <c r="CU78" s="321"/>
      <c r="CV78" s="321"/>
      <c r="CW78" s="321"/>
      <c r="CX78" s="321"/>
      <c r="CY78" s="321"/>
      <c r="CZ78" s="321"/>
      <c r="DA78" s="321"/>
      <c r="DB78" s="321"/>
      <c r="DC78" s="321"/>
      <c r="DD78" s="321"/>
      <c r="DE78" s="321"/>
      <c r="DF78" s="321"/>
      <c r="DG78" s="321"/>
      <c r="DH78" s="321"/>
      <c r="DI78" s="321"/>
      <c r="DJ78" s="321"/>
    </row>
    <row r="79" spans="1:114" s="322" customFormat="1" ht="20.100000000000001" customHeight="1" x14ac:dyDescent="0.2">
      <c r="A79" s="321"/>
      <c r="B79" s="323"/>
      <c r="C79" s="323"/>
      <c r="D79" s="323"/>
      <c r="E79" s="323"/>
      <c r="F79" s="323"/>
      <c r="G79" s="323"/>
      <c r="H79" s="323"/>
      <c r="I79" s="323"/>
      <c r="J79" s="323"/>
      <c r="K79" s="323"/>
      <c r="L79" s="323"/>
      <c r="M79" s="651"/>
      <c r="N79" s="323"/>
      <c r="O79" s="323"/>
      <c r="P79" s="323"/>
      <c r="Q79" s="323"/>
      <c r="BE79" s="321"/>
      <c r="BF79" s="321"/>
      <c r="BG79" s="321"/>
      <c r="BH79" s="321"/>
      <c r="BI79" s="321"/>
      <c r="BJ79" s="321"/>
      <c r="BK79" s="321"/>
      <c r="BL79" s="321"/>
      <c r="BM79" s="321"/>
      <c r="BN79" s="321"/>
      <c r="BO79" s="321"/>
      <c r="BP79" s="321"/>
      <c r="BQ79" s="321"/>
      <c r="BR79" s="321"/>
      <c r="BS79" s="321"/>
      <c r="BT79" s="321"/>
      <c r="BU79" s="321"/>
      <c r="BV79" s="321"/>
      <c r="BW79" s="321"/>
      <c r="BX79" s="321"/>
      <c r="BY79" s="321"/>
      <c r="BZ79" s="321"/>
      <c r="CA79" s="321"/>
      <c r="CB79" s="321"/>
      <c r="CC79" s="321"/>
      <c r="CD79" s="321"/>
      <c r="CE79" s="321"/>
      <c r="CF79" s="321"/>
      <c r="CG79" s="321"/>
      <c r="CH79" s="321"/>
      <c r="CI79" s="321"/>
      <c r="CJ79" s="321"/>
      <c r="CK79" s="321"/>
      <c r="CL79" s="321"/>
      <c r="CM79" s="321"/>
      <c r="CN79" s="321"/>
      <c r="CO79" s="321"/>
      <c r="CP79" s="321"/>
      <c r="CQ79" s="321"/>
      <c r="CR79" s="321"/>
      <c r="CS79" s="321"/>
      <c r="CT79" s="321"/>
      <c r="CU79" s="321"/>
      <c r="CV79" s="321"/>
      <c r="CW79" s="321"/>
      <c r="CX79" s="321"/>
      <c r="CY79" s="321"/>
      <c r="CZ79" s="321"/>
      <c r="DA79" s="321"/>
      <c r="DB79" s="321"/>
      <c r="DC79" s="321"/>
      <c r="DD79" s="321"/>
      <c r="DE79" s="321"/>
      <c r="DF79" s="321"/>
      <c r="DG79" s="321"/>
      <c r="DH79" s="321"/>
      <c r="DI79" s="321"/>
      <c r="DJ79" s="321"/>
    </row>
    <row r="80" spans="1:114" s="322" customFormat="1" ht="20.100000000000001" customHeight="1" x14ac:dyDescent="0.2">
      <c r="A80" s="321"/>
      <c r="B80" s="323"/>
      <c r="C80" s="323"/>
      <c r="D80" s="323"/>
      <c r="E80" s="323"/>
      <c r="F80" s="323"/>
      <c r="G80" s="323"/>
      <c r="H80" s="323"/>
      <c r="I80" s="323"/>
      <c r="J80" s="323"/>
      <c r="K80" s="323"/>
      <c r="L80" s="323"/>
      <c r="M80" s="651"/>
      <c r="N80" s="323"/>
      <c r="O80" s="323"/>
      <c r="P80" s="323"/>
      <c r="Q80" s="323"/>
      <c r="BE80" s="321"/>
      <c r="BF80" s="321"/>
      <c r="BG80" s="321"/>
      <c r="BH80" s="321"/>
      <c r="BI80" s="321"/>
      <c r="BJ80" s="321"/>
      <c r="BK80" s="321"/>
      <c r="BL80" s="321"/>
      <c r="BM80" s="321"/>
      <c r="BN80" s="321"/>
      <c r="BO80" s="321"/>
      <c r="BP80" s="321"/>
      <c r="BQ80" s="321"/>
      <c r="BR80" s="321"/>
      <c r="BS80" s="321"/>
      <c r="BT80" s="321"/>
      <c r="BU80" s="321"/>
      <c r="BV80" s="321"/>
      <c r="BW80" s="321"/>
      <c r="BX80" s="321"/>
      <c r="BY80" s="321"/>
      <c r="BZ80" s="321"/>
      <c r="CA80" s="321"/>
      <c r="CB80" s="321"/>
      <c r="CC80" s="321"/>
      <c r="CD80" s="321"/>
      <c r="CE80" s="321"/>
      <c r="CF80" s="321"/>
      <c r="CG80" s="321"/>
      <c r="CH80" s="321"/>
      <c r="CI80" s="321"/>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row>
    <row r="81" spans="1:114" s="322" customFormat="1" ht="20.100000000000001" customHeight="1" x14ac:dyDescent="0.2">
      <c r="A81" s="321"/>
      <c r="B81" s="323"/>
      <c r="C81" s="323"/>
      <c r="D81" s="323"/>
      <c r="E81" s="323"/>
      <c r="F81" s="323"/>
      <c r="G81" s="323"/>
      <c r="H81" s="323"/>
      <c r="I81" s="323"/>
      <c r="J81" s="323"/>
      <c r="K81" s="323"/>
      <c r="L81" s="323"/>
      <c r="M81" s="651"/>
      <c r="N81" s="323"/>
      <c r="O81" s="323"/>
      <c r="P81" s="323"/>
      <c r="Q81" s="323"/>
      <c r="BE81" s="321"/>
      <c r="BF81" s="321"/>
      <c r="BG81" s="321"/>
      <c r="BH81" s="321"/>
      <c r="BI81" s="321"/>
      <c r="BJ81" s="321"/>
      <c r="BK81" s="321"/>
      <c r="BL81" s="321"/>
      <c r="BM81" s="321"/>
      <c r="BN81" s="321"/>
      <c r="BO81" s="321"/>
      <c r="BP81" s="321"/>
      <c r="BQ81" s="321"/>
      <c r="BR81" s="321"/>
      <c r="BS81" s="321"/>
      <c r="BT81" s="321"/>
      <c r="BU81" s="321"/>
      <c r="BV81" s="321"/>
      <c r="BW81" s="321"/>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1"/>
      <c r="DH81" s="321"/>
      <c r="DI81" s="321"/>
      <c r="DJ81" s="321"/>
    </row>
    <row r="82" spans="1:114" s="322" customFormat="1" ht="20.100000000000001" customHeight="1" x14ac:dyDescent="0.2">
      <c r="A82" s="321"/>
      <c r="B82" s="323"/>
      <c r="C82" s="323"/>
      <c r="D82" s="323"/>
      <c r="E82" s="323"/>
      <c r="F82" s="323"/>
      <c r="G82" s="323"/>
      <c r="H82" s="323"/>
      <c r="I82" s="323"/>
      <c r="J82" s="323"/>
      <c r="K82" s="323"/>
      <c r="L82" s="323"/>
      <c r="M82" s="651"/>
      <c r="N82" s="323"/>
      <c r="O82" s="323"/>
      <c r="P82" s="323"/>
      <c r="Q82" s="323"/>
      <c r="BE82" s="321"/>
      <c r="BF82" s="321"/>
      <c r="BG82" s="321"/>
      <c r="BH82" s="321"/>
      <c r="BI82" s="321"/>
      <c r="BJ82" s="321"/>
      <c r="BK82" s="321"/>
      <c r="BL82" s="321"/>
      <c r="BM82" s="321"/>
      <c r="BN82" s="321"/>
      <c r="BO82" s="321"/>
      <c r="BP82" s="321"/>
      <c r="BQ82" s="321"/>
      <c r="BR82" s="321"/>
      <c r="BS82" s="321"/>
      <c r="BT82" s="321"/>
      <c r="BU82" s="321"/>
      <c r="BV82" s="321"/>
      <c r="BW82" s="321"/>
      <c r="BX82" s="321"/>
      <c r="BY82" s="321"/>
      <c r="BZ82" s="321"/>
      <c r="CA82" s="321"/>
      <c r="CB82" s="321"/>
      <c r="CC82" s="321"/>
      <c r="CD82" s="321"/>
      <c r="CE82" s="321"/>
      <c r="CF82" s="321"/>
      <c r="CG82" s="321"/>
      <c r="CH82" s="321"/>
      <c r="CI82" s="321"/>
      <c r="CJ82" s="321"/>
      <c r="CK82" s="321"/>
      <c r="CL82" s="321"/>
      <c r="CM82" s="321"/>
      <c r="CN82" s="321"/>
      <c r="CO82" s="321"/>
      <c r="CP82" s="321"/>
      <c r="CQ82" s="321"/>
      <c r="CR82" s="321"/>
      <c r="CS82" s="321"/>
      <c r="CT82" s="321"/>
      <c r="CU82" s="321"/>
      <c r="CV82" s="321"/>
      <c r="CW82" s="321"/>
      <c r="CX82" s="321"/>
      <c r="CY82" s="321"/>
      <c r="CZ82" s="321"/>
      <c r="DA82" s="321"/>
      <c r="DB82" s="321"/>
      <c r="DC82" s="321"/>
      <c r="DD82" s="321"/>
      <c r="DE82" s="321"/>
      <c r="DF82" s="321"/>
      <c r="DG82" s="321"/>
      <c r="DH82" s="321"/>
      <c r="DI82" s="321"/>
      <c r="DJ82" s="321"/>
    </row>
    <row r="83" spans="1:114" s="322" customFormat="1" ht="20.100000000000001" customHeight="1" x14ac:dyDescent="0.2">
      <c r="A83" s="321"/>
      <c r="B83" s="323"/>
      <c r="C83" s="323"/>
      <c r="D83" s="323"/>
      <c r="E83" s="323"/>
      <c r="F83" s="323"/>
      <c r="G83" s="323"/>
      <c r="H83" s="323"/>
      <c r="I83" s="323"/>
      <c r="J83" s="323"/>
      <c r="K83" s="323"/>
      <c r="L83" s="323"/>
      <c r="M83" s="651"/>
      <c r="N83" s="323"/>
      <c r="O83" s="323"/>
      <c r="P83" s="323"/>
      <c r="Q83" s="323"/>
      <c r="BE83" s="321"/>
      <c r="BF83" s="321"/>
      <c r="BG83" s="321"/>
      <c r="BH83" s="321"/>
      <c r="BI83" s="321"/>
      <c r="BJ83" s="321"/>
      <c r="BK83" s="321"/>
      <c r="BL83" s="321"/>
      <c r="BM83" s="321"/>
      <c r="BN83" s="321"/>
      <c r="BO83" s="321"/>
      <c r="BP83" s="321"/>
      <c r="BQ83" s="321"/>
      <c r="BR83" s="321"/>
      <c r="BS83" s="321"/>
      <c r="BT83" s="321"/>
      <c r="BU83" s="321"/>
      <c r="BV83" s="321"/>
      <c r="BW83" s="321"/>
      <c r="BX83" s="321"/>
      <c r="BY83" s="321"/>
      <c r="BZ83" s="321"/>
      <c r="CA83" s="321"/>
      <c r="CB83" s="321"/>
      <c r="CC83" s="321"/>
      <c r="CD83" s="321"/>
      <c r="CE83" s="321"/>
      <c r="CF83" s="321"/>
      <c r="CG83" s="321"/>
      <c r="CH83" s="321"/>
      <c r="CI83" s="321"/>
      <c r="CJ83" s="321"/>
      <c r="CK83" s="321"/>
      <c r="CL83" s="321"/>
      <c r="CM83" s="321"/>
      <c r="CN83" s="321"/>
      <c r="CO83" s="321"/>
      <c r="CP83" s="321"/>
      <c r="CQ83" s="321"/>
      <c r="CR83" s="321"/>
      <c r="CS83" s="321"/>
      <c r="CT83" s="321"/>
      <c r="CU83" s="321"/>
      <c r="CV83" s="321"/>
      <c r="CW83" s="321"/>
      <c r="CX83" s="321"/>
      <c r="CY83" s="321"/>
      <c r="CZ83" s="321"/>
      <c r="DA83" s="321"/>
      <c r="DB83" s="321"/>
      <c r="DC83" s="321"/>
      <c r="DD83" s="321"/>
      <c r="DE83" s="321"/>
      <c r="DF83" s="321"/>
      <c r="DG83" s="321"/>
      <c r="DH83" s="321"/>
      <c r="DI83" s="321"/>
      <c r="DJ83" s="321"/>
    </row>
    <row r="84" spans="1:114" s="322" customFormat="1" ht="20.100000000000001" customHeight="1" x14ac:dyDescent="0.2">
      <c r="A84" s="321"/>
      <c r="B84" s="323"/>
      <c r="C84" s="323"/>
      <c r="D84" s="323"/>
      <c r="E84" s="323"/>
      <c r="F84" s="323"/>
      <c r="G84" s="323"/>
      <c r="H84" s="323"/>
      <c r="I84" s="323"/>
      <c r="J84" s="323"/>
      <c r="K84" s="323"/>
      <c r="L84" s="323"/>
      <c r="M84" s="651"/>
      <c r="N84" s="323"/>
      <c r="O84" s="323"/>
      <c r="P84" s="323"/>
      <c r="Q84" s="323"/>
      <c r="BE84" s="321"/>
      <c r="BF84" s="321"/>
      <c r="BG84" s="321"/>
      <c r="BH84" s="321"/>
      <c r="BI84" s="321"/>
      <c r="BJ84" s="321"/>
      <c r="BK84" s="321"/>
      <c r="BL84" s="321"/>
      <c r="BM84" s="321"/>
      <c r="BN84" s="321"/>
      <c r="BO84" s="321"/>
      <c r="BP84" s="321"/>
      <c r="BQ84" s="321"/>
      <c r="BR84" s="321"/>
      <c r="BS84" s="321"/>
      <c r="BT84" s="321"/>
      <c r="BU84" s="321"/>
      <c r="BV84" s="321"/>
      <c r="BW84" s="321"/>
      <c r="BX84" s="321"/>
      <c r="BY84" s="321"/>
      <c r="BZ84" s="321"/>
      <c r="CA84" s="321"/>
      <c r="CB84" s="321"/>
      <c r="CC84" s="321"/>
      <c r="CD84" s="321"/>
      <c r="CE84" s="321"/>
      <c r="CF84" s="321"/>
      <c r="CG84" s="321"/>
      <c r="CH84" s="321"/>
      <c r="CI84" s="321"/>
      <c r="CJ84" s="321"/>
      <c r="CK84" s="321"/>
      <c r="CL84" s="321"/>
      <c r="CM84" s="321"/>
      <c r="CN84" s="321"/>
      <c r="CO84" s="321"/>
      <c r="CP84" s="321"/>
      <c r="CQ84" s="321"/>
      <c r="CR84" s="321"/>
      <c r="CS84" s="321"/>
      <c r="CT84" s="321"/>
      <c r="CU84" s="321"/>
      <c r="CV84" s="321"/>
      <c r="CW84" s="321"/>
      <c r="CX84" s="321"/>
      <c r="CY84" s="321"/>
      <c r="CZ84" s="321"/>
      <c r="DA84" s="321"/>
      <c r="DB84" s="321"/>
      <c r="DC84" s="321"/>
      <c r="DD84" s="321"/>
      <c r="DE84" s="321"/>
      <c r="DF84" s="321"/>
      <c r="DG84" s="321"/>
      <c r="DH84" s="321"/>
      <c r="DI84" s="321"/>
      <c r="DJ84" s="321"/>
    </row>
    <row r="85" spans="1:114" s="322" customFormat="1" ht="20.100000000000001" customHeight="1" x14ac:dyDescent="0.2">
      <c r="A85" s="321"/>
      <c r="B85" s="323"/>
      <c r="C85" s="323"/>
      <c r="D85" s="323"/>
      <c r="E85" s="323"/>
      <c r="F85" s="323"/>
      <c r="G85" s="323"/>
      <c r="H85" s="323"/>
      <c r="I85" s="323"/>
      <c r="J85" s="323"/>
      <c r="K85" s="323"/>
      <c r="L85" s="323"/>
      <c r="M85" s="651"/>
      <c r="N85" s="323"/>
      <c r="O85" s="323"/>
      <c r="P85" s="323"/>
      <c r="Q85" s="323"/>
      <c r="BE85" s="321"/>
      <c r="BF85" s="321"/>
      <c r="BG85" s="321"/>
      <c r="BH85" s="321"/>
      <c r="BI85" s="321"/>
      <c r="BJ85" s="321"/>
      <c r="BK85" s="321"/>
      <c r="BL85" s="321"/>
      <c r="BM85" s="321"/>
      <c r="BN85" s="321"/>
      <c r="BO85" s="321"/>
      <c r="BP85" s="321"/>
      <c r="BQ85" s="321"/>
      <c r="BR85" s="321"/>
      <c r="BS85" s="321"/>
      <c r="BT85" s="321"/>
      <c r="BU85" s="321"/>
      <c r="BV85" s="321"/>
      <c r="BW85" s="321"/>
      <c r="BX85" s="321"/>
      <c r="BY85" s="321"/>
      <c r="BZ85" s="321"/>
      <c r="CA85" s="321"/>
      <c r="CB85" s="321"/>
      <c r="CC85" s="321"/>
      <c r="CD85" s="321"/>
      <c r="CE85" s="321"/>
      <c r="CF85" s="321"/>
      <c r="CG85" s="321"/>
      <c r="CH85" s="321"/>
      <c r="CI85" s="321"/>
      <c r="CJ85" s="321"/>
      <c r="CK85" s="321"/>
      <c r="CL85" s="321"/>
      <c r="CM85" s="321"/>
      <c r="CN85" s="321"/>
      <c r="CO85" s="321"/>
      <c r="CP85" s="321"/>
      <c r="CQ85" s="321"/>
      <c r="CR85" s="321"/>
      <c r="CS85" s="321"/>
      <c r="CT85" s="321"/>
      <c r="CU85" s="321"/>
      <c r="CV85" s="321"/>
      <c r="CW85" s="321"/>
      <c r="CX85" s="321"/>
      <c r="CY85" s="321"/>
      <c r="CZ85" s="321"/>
      <c r="DA85" s="321"/>
      <c r="DB85" s="321"/>
      <c r="DC85" s="321"/>
      <c r="DD85" s="321"/>
      <c r="DE85" s="321"/>
      <c r="DF85" s="321"/>
      <c r="DG85" s="321"/>
      <c r="DH85" s="321"/>
      <c r="DI85" s="321"/>
      <c r="DJ85" s="321"/>
    </row>
    <row r="86" spans="1:114" s="322" customFormat="1" ht="20.100000000000001" customHeight="1" x14ac:dyDescent="0.2">
      <c r="A86" s="321"/>
      <c r="B86" s="323"/>
      <c r="C86" s="323"/>
      <c r="D86" s="323"/>
      <c r="E86" s="323"/>
      <c r="F86" s="323"/>
      <c r="G86" s="323"/>
      <c r="H86" s="323"/>
      <c r="I86" s="323"/>
      <c r="J86" s="323"/>
      <c r="K86" s="323"/>
      <c r="L86" s="323"/>
      <c r="M86" s="651"/>
      <c r="N86" s="323"/>
      <c r="O86" s="323"/>
      <c r="P86" s="323"/>
      <c r="Q86" s="323"/>
      <c r="BE86" s="321"/>
      <c r="BF86" s="321"/>
      <c r="BG86" s="321"/>
      <c r="BH86" s="321"/>
      <c r="BI86" s="321"/>
      <c r="BJ86" s="321"/>
      <c r="BK86" s="321"/>
      <c r="BL86" s="321"/>
      <c r="BM86" s="321"/>
      <c r="BN86" s="321"/>
      <c r="BO86" s="321"/>
      <c r="BP86" s="321"/>
      <c r="BQ86" s="321"/>
      <c r="BR86" s="321"/>
      <c r="BS86" s="321"/>
      <c r="BT86" s="321"/>
      <c r="BU86" s="321"/>
      <c r="BV86" s="321"/>
      <c r="BW86" s="321"/>
      <c r="BX86" s="321"/>
      <c r="BY86" s="321"/>
      <c r="BZ86" s="321"/>
      <c r="CA86" s="321"/>
      <c r="CB86" s="321"/>
      <c r="CC86" s="321"/>
      <c r="CD86" s="321"/>
      <c r="CE86" s="321"/>
      <c r="CF86" s="321"/>
      <c r="CG86" s="321"/>
      <c r="CH86" s="321"/>
      <c r="CI86" s="321"/>
      <c r="CJ86" s="321"/>
      <c r="CK86" s="321"/>
      <c r="CL86" s="321"/>
      <c r="CM86" s="321"/>
      <c r="CN86" s="321"/>
      <c r="CO86" s="321"/>
      <c r="CP86" s="321"/>
      <c r="CQ86" s="321"/>
      <c r="CR86" s="321"/>
      <c r="CS86" s="321"/>
      <c r="CT86" s="321"/>
      <c r="CU86" s="321"/>
      <c r="CV86" s="321"/>
      <c r="CW86" s="321"/>
      <c r="CX86" s="321"/>
      <c r="CY86" s="321"/>
      <c r="CZ86" s="321"/>
      <c r="DA86" s="321"/>
      <c r="DB86" s="321"/>
      <c r="DC86" s="321"/>
      <c r="DD86" s="321"/>
      <c r="DE86" s="321"/>
      <c r="DF86" s="321"/>
      <c r="DG86" s="321"/>
      <c r="DH86" s="321"/>
      <c r="DI86" s="321"/>
      <c r="DJ86" s="321"/>
    </row>
    <row r="87" spans="1:114" s="322" customFormat="1" ht="20.100000000000001" customHeight="1" x14ac:dyDescent="0.2">
      <c r="A87" s="321"/>
      <c r="B87" s="323"/>
      <c r="C87" s="323"/>
      <c r="D87" s="323"/>
      <c r="E87" s="323"/>
      <c r="F87" s="323"/>
      <c r="G87" s="323"/>
      <c r="H87" s="323"/>
      <c r="I87" s="323"/>
      <c r="J87" s="323"/>
      <c r="K87" s="323"/>
      <c r="L87" s="323"/>
      <c r="M87" s="651"/>
      <c r="N87" s="323"/>
      <c r="O87" s="323"/>
      <c r="P87" s="323"/>
      <c r="Q87" s="323"/>
      <c r="BE87" s="321"/>
      <c r="BF87" s="321"/>
      <c r="BG87" s="321"/>
      <c r="BH87" s="321"/>
      <c r="BI87" s="321"/>
      <c r="BJ87" s="321"/>
      <c r="BK87" s="321"/>
      <c r="BL87" s="321"/>
      <c r="BM87" s="321"/>
      <c r="BN87" s="321"/>
      <c r="BO87" s="321"/>
      <c r="BP87" s="321"/>
      <c r="BQ87" s="321"/>
      <c r="BR87" s="321"/>
      <c r="BS87" s="321"/>
      <c r="BT87" s="321"/>
      <c r="BU87" s="321"/>
      <c r="BV87" s="321"/>
      <c r="BW87" s="321"/>
      <c r="BX87" s="321"/>
      <c r="BY87" s="321"/>
      <c r="BZ87" s="321"/>
      <c r="CA87" s="321"/>
      <c r="CB87" s="321"/>
      <c r="CC87" s="321"/>
      <c r="CD87" s="321"/>
      <c r="CE87" s="321"/>
      <c r="CF87" s="321"/>
      <c r="CG87" s="321"/>
      <c r="CH87" s="321"/>
      <c r="CI87" s="321"/>
      <c r="CJ87" s="321"/>
      <c r="CK87" s="321"/>
      <c r="CL87" s="321"/>
      <c r="CM87" s="321"/>
      <c r="CN87" s="321"/>
      <c r="CO87" s="321"/>
      <c r="CP87" s="321"/>
      <c r="CQ87" s="321"/>
      <c r="CR87" s="321"/>
      <c r="CS87" s="321"/>
      <c r="CT87" s="321"/>
      <c r="CU87" s="321"/>
      <c r="CV87" s="321"/>
      <c r="CW87" s="321"/>
      <c r="CX87" s="321"/>
      <c r="CY87" s="321"/>
      <c r="CZ87" s="321"/>
      <c r="DA87" s="321"/>
      <c r="DB87" s="321"/>
      <c r="DC87" s="321"/>
      <c r="DD87" s="321"/>
      <c r="DE87" s="321"/>
      <c r="DF87" s="321"/>
      <c r="DG87" s="321"/>
      <c r="DH87" s="321"/>
      <c r="DI87" s="321"/>
      <c r="DJ87" s="321"/>
    </row>
    <row r="88" spans="1:114" s="322" customFormat="1" ht="20.100000000000001" customHeight="1" x14ac:dyDescent="0.2">
      <c r="A88" s="321"/>
      <c r="B88" s="323"/>
      <c r="C88" s="323"/>
      <c r="D88" s="323"/>
      <c r="E88" s="323"/>
      <c r="F88" s="323"/>
      <c r="G88" s="323"/>
      <c r="H88" s="323"/>
      <c r="I88" s="323"/>
      <c r="J88" s="323"/>
      <c r="K88" s="323"/>
      <c r="L88" s="323"/>
      <c r="M88" s="651"/>
      <c r="N88" s="323"/>
      <c r="O88" s="323"/>
      <c r="P88" s="323"/>
      <c r="Q88" s="323"/>
      <c r="BE88" s="321"/>
      <c r="BF88" s="321"/>
      <c r="BG88" s="321"/>
      <c r="BH88" s="321"/>
      <c r="BI88" s="321"/>
      <c r="BJ88" s="321"/>
      <c r="BK88" s="321"/>
      <c r="BL88" s="321"/>
      <c r="BM88" s="321"/>
      <c r="BN88" s="321"/>
      <c r="BO88" s="321"/>
      <c r="BP88" s="321"/>
      <c r="BQ88" s="321"/>
      <c r="BR88" s="321"/>
      <c r="BS88" s="321"/>
      <c r="BT88" s="321"/>
      <c r="BU88" s="321"/>
      <c r="BV88" s="321"/>
      <c r="BW88" s="321"/>
      <c r="BX88" s="321"/>
      <c r="BY88" s="321"/>
      <c r="BZ88" s="321"/>
      <c r="CA88" s="321"/>
      <c r="CB88" s="321"/>
      <c r="CC88" s="321"/>
      <c r="CD88" s="321"/>
      <c r="CE88" s="321"/>
      <c r="CF88" s="321"/>
      <c r="CG88" s="321"/>
      <c r="CH88" s="321"/>
      <c r="CI88" s="321"/>
      <c r="CJ88" s="321"/>
      <c r="CK88" s="321"/>
      <c r="CL88" s="321"/>
      <c r="CM88" s="321"/>
      <c r="CN88" s="321"/>
      <c r="CO88" s="321"/>
      <c r="CP88" s="321"/>
      <c r="CQ88" s="321"/>
      <c r="CR88" s="321"/>
      <c r="CS88" s="321"/>
      <c r="CT88" s="321"/>
      <c r="CU88" s="321"/>
      <c r="CV88" s="321"/>
      <c r="CW88" s="321"/>
      <c r="CX88" s="321"/>
      <c r="CY88" s="321"/>
      <c r="CZ88" s="321"/>
      <c r="DA88" s="321"/>
      <c r="DB88" s="321"/>
      <c r="DC88" s="321"/>
      <c r="DD88" s="321"/>
      <c r="DE88" s="321"/>
      <c r="DF88" s="321"/>
      <c r="DG88" s="321"/>
      <c r="DH88" s="321"/>
      <c r="DI88" s="321"/>
      <c r="DJ88" s="321"/>
    </row>
    <row r="89" spans="1:114" s="322" customFormat="1" ht="20.100000000000001" customHeight="1" x14ac:dyDescent="0.2">
      <c r="A89" s="321"/>
      <c r="B89" s="323"/>
      <c r="C89" s="323"/>
      <c r="D89" s="323"/>
      <c r="E89" s="323"/>
      <c r="F89" s="323"/>
      <c r="G89" s="323"/>
      <c r="H89" s="323"/>
      <c r="I89" s="323"/>
      <c r="J89" s="323"/>
      <c r="K89" s="323"/>
      <c r="L89" s="323"/>
      <c r="M89" s="651"/>
      <c r="N89" s="323"/>
      <c r="O89" s="323"/>
      <c r="P89" s="323"/>
      <c r="Q89" s="323"/>
      <c r="BE89" s="321"/>
      <c r="BF89" s="321"/>
      <c r="BG89" s="321"/>
      <c r="BH89" s="321"/>
      <c r="BI89" s="321"/>
      <c r="BJ89" s="321"/>
      <c r="BK89" s="321"/>
      <c r="BL89" s="321"/>
      <c r="BM89" s="321"/>
      <c r="BN89" s="321"/>
      <c r="BO89" s="321"/>
      <c r="BP89" s="321"/>
      <c r="BQ89" s="321"/>
      <c r="BR89" s="321"/>
      <c r="BS89" s="321"/>
      <c r="BT89" s="321"/>
      <c r="BU89" s="321"/>
      <c r="BV89" s="321"/>
      <c r="BW89" s="321"/>
      <c r="BX89" s="321"/>
      <c r="BY89" s="321"/>
      <c r="BZ89" s="321"/>
      <c r="CA89" s="321"/>
      <c r="CB89" s="321"/>
      <c r="CC89" s="321"/>
      <c r="CD89" s="321"/>
      <c r="CE89" s="321"/>
      <c r="CF89" s="321"/>
      <c r="CG89" s="321"/>
      <c r="CH89" s="321"/>
      <c r="CI89" s="321"/>
      <c r="CJ89" s="321"/>
      <c r="CK89" s="321"/>
      <c r="CL89" s="321"/>
      <c r="CM89" s="321"/>
      <c r="CN89" s="321"/>
      <c r="CO89" s="321"/>
      <c r="CP89" s="321"/>
      <c r="CQ89" s="321"/>
      <c r="CR89" s="321"/>
      <c r="CS89" s="321"/>
      <c r="CT89" s="321"/>
      <c r="CU89" s="321"/>
      <c r="CV89" s="321"/>
      <c r="CW89" s="321"/>
      <c r="CX89" s="321"/>
      <c r="CY89" s="321"/>
      <c r="CZ89" s="321"/>
      <c r="DA89" s="321"/>
      <c r="DB89" s="321"/>
      <c r="DC89" s="321"/>
      <c r="DD89" s="321"/>
      <c r="DE89" s="321"/>
      <c r="DF89" s="321"/>
      <c r="DG89" s="321"/>
      <c r="DH89" s="321"/>
      <c r="DI89" s="321"/>
      <c r="DJ89" s="321"/>
    </row>
    <row r="90" spans="1:114" s="322" customFormat="1" ht="20.100000000000001" customHeight="1" x14ac:dyDescent="0.2">
      <c r="A90" s="321"/>
      <c r="B90" s="323"/>
      <c r="C90" s="323"/>
      <c r="D90" s="323"/>
      <c r="E90" s="323"/>
      <c r="F90" s="323"/>
      <c r="G90" s="323"/>
      <c r="H90" s="323"/>
      <c r="I90" s="323"/>
      <c r="J90" s="323"/>
      <c r="K90" s="323"/>
      <c r="L90" s="323"/>
      <c r="M90" s="651"/>
      <c r="N90" s="323"/>
      <c r="O90" s="323"/>
      <c r="P90" s="323"/>
      <c r="Q90" s="323"/>
      <c r="BE90" s="321"/>
      <c r="BF90" s="321"/>
      <c r="BG90" s="321"/>
      <c r="BH90" s="321"/>
      <c r="BI90" s="321"/>
      <c r="BJ90" s="321"/>
      <c r="BK90" s="321"/>
      <c r="BL90" s="321"/>
      <c r="BM90" s="321"/>
      <c r="BN90" s="321"/>
      <c r="BO90" s="321"/>
      <c r="BP90" s="321"/>
      <c r="BQ90" s="321"/>
      <c r="BR90" s="321"/>
      <c r="BS90" s="321"/>
      <c r="BT90" s="321"/>
      <c r="BU90" s="321"/>
      <c r="BV90" s="321"/>
      <c r="BW90" s="321"/>
      <c r="BX90" s="321"/>
      <c r="BY90" s="321"/>
      <c r="BZ90" s="321"/>
      <c r="CA90" s="321"/>
      <c r="CB90" s="321"/>
      <c r="CC90" s="321"/>
      <c r="CD90" s="321"/>
      <c r="CE90" s="321"/>
      <c r="CF90" s="321"/>
      <c r="CG90" s="321"/>
      <c r="CH90" s="321"/>
      <c r="CI90" s="321"/>
      <c r="CJ90" s="321"/>
      <c r="CK90" s="321"/>
      <c r="CL90" s="321"/>
      <c r="CM90" s="321"/>
      <c r="CN90" s="321"/>
      <c r="CO90" s="321"/>
      <c r="CP90" s="321"/>
      <c r="CQ90" s="321"/>
      <c r="CR90" s="321"/>
      <c r="CS90" s="321"/>
      <c r="CT90" s="321"/>
      <c r="CU90" s="321"/>
      <c r="CV90" s="321"/>
      <c r="CW90" s="321"/>
      <c r="CX90" s="321"/>
      <c r="CY90" s="321"/>
      <c r="CZ90" s="321"/>
      <c r="DA90" s="321"/>
      <c r="DB90" s="321"/>
      <c r="DC90" s="321"/>
      <c r="DD90" s="321"/>
      <c r="DE90" s="321"/>
      <c r="DF90" s="321"/>
      <c r="DG90" s="321"/>
      <c r="DH90" s="321"/>
      <c r="DI90" s="321"/>
      <c r="DJ90" s="321"/>
    </row>
    <row r="91" spans="1:114" s="322" customFormat="1" ht="20.100000000000001" customHeight="1" x14ac:dyDescent="0.2">
      <c r="A91" s="321"/>
      <c r="B91" s="323"/>
      <c r="C91" s="323"/>
      <c r="D91" s="323"/>
      <c r="E91" s="323"/>
      <c r="F91" s="323"/>
      <c r="G91" s="323"/>
      <c r="H91" s="323"/>
      <c r="I91" s="323"/>
      <c r="J91" s="323"/>
      <c r="K91" s="323"/>
      <c r="L91" s="323"/>
      <c r="M91" s="651"/>
      <c r="N91" s="323"/>
      <c r="O91" s="323"/>
      <c r="P91" s="323"/>
      <c r="Q91" s="323"/>
      <c r="BE91" s="321"/>
      <c r="BF91" s="321"/>
      <c r="BG91" s="321"/>
      <c r="BH91" s="321"/>
      <c r="BI91" s="321"/>
      <c r="BJ91" s="321"/>
      <c r="BK91" s="321"/>
      <c r="BL91" s="321"/>
      <c r="BM91" s="321"/>
      <c r="BN91" s="321"/>
      <c r="BO91" s="321"/>
      <c r="BP91" s="321"/>
      <c r="BQ91" s="321"/>
      <c r="BR91" s="321"/>
      <c r="BS91" s="321"/>
      <c r="BT91" s="321"/>
      <c r="BU91" s="321"/>
      <c r="BV91" s="321"/>
      <c r="BW91" s="321"/>
      <c r="BX91" s="321"/>
      <c r="BY91" s="321"/>
      <c r="BZ91" s="321"/>
      <c r="CA91" s="321"/>
      <c r="CB91" s="321"/>
      <c r="CC91" s="321"/>
      <c r="CD91" s="321"/>
      <c r="CE91" s="321"/>
      <c r="CF91" s="321"/>
      <c r="CG91" s="321"/>
      <c r="CH91" s="321"/>
      <c r="CI91" s="321"/>
      <c r="CJ91" s="321"/>
      <c r="CK91" s="321"/>
      <c r="CL91" s="321"/>
      <c r="CM91" s="321"/>
      <c r="CN91" s="321"/>
      <c r="CO91" s="321"/>
      <c r="CP91" s="321"/>
      <c r="CQ91" s="321"/>
      <c r="CR91" s="321"/>
      <c r="CS91" s="321"/>
      <c r="CT91" s="321"/>
      <c r="CU91" s="321"/>
      <c r="CV91" s="321"/>
      <c r="CW91" s="321"/>
      <c r="CX91" s="321"/>
      <c r="CY91" s="321"/>
      <c r="CZ91" s="321"/>
      <c r="DA91" s="321"/>
      <c r="DB91" s="321"/>
      <c r="DC91" s="321"/>
      <c r="DD91" s="321"/>
      <c r="DE91" s="321"/>
      <c r="DF91" s="321"/>
      <c r="DG91" s="321"/>
      <c r="DH91" s="321"/>
      <c r="DI91" s="321"/>
      <c r="DJ91" s="321"/>
    </row>
    <row r="92" spans="1:114" s="322" customFormat="1" ht="20.100000000000001" customHeight="1" x14ac:dyDescent="0.2">
      <c r="A92" s="321"/>
      <c r="B92" s="323"/>
      <c r="C92" s="323"/>
      <c r="D92" s="323"/>
      <c r="E92" s="323"/>
      <c r="F92" s="323"/>
      <c r="G92" s="323"/>
      <c r="H92" s="323"/>
      <c r="I92" s="323"/>
      <c r="J92" s="323"/>
      <c r="K92" s="323"/>
      <c r="L92" s="323"/>
      <c r="M92" s="651"/>
      <c r="N92" s="323"/>
      <c r="O92" s="323"/>
      <c r="P92" s="323"/>
      <c r="Q92" s="323"/>
      <c r="BE92" s="321"/>
      <c r="BF92" s="321"/>
      <c r="BG92" s="321"/>
      <c r="BH92" s="321"/>
      <c r="BI92" s="321"/>
      <c r="BJ92" s="321"/>
      <c r="BK92" s="321"/>
      <c r="BL92" s="321"/>
      <c r="BM92" s="321"/>
      <c r="BN92" s="321"/>
      <c r="BO92" s="321"/>
      <c r="BP92" s="321"/>
      <c r="BQ92" s="321"/>
      <c r="BR92" s="321"/>
      <c r="BS92" s="321"/>
      <c r="BT92" s="321"/>
      <c r="BU92" s="321"/>
      <c r="BV92" s="321"/>
      <c r="BW92" s="321"/>
      <c r="BX92" s="321"/>
      <c r="BY92" s="321"/>
      <c r="BZ92" s="321"/>
      <c r="CA92" s="321"/>
      <c r="CB92" s="321"/>
      <c r="CC92" s="321"/>
      <c r="CD92" s="321"/>
      <c r="CE92" s="321"/>
      <c r="CF92" s="321"/>
      <c r="CG92" s="321"/>
      <c r="CH92" s="321"/>
      <c r="CI92" s="321"/>
      <c r="CJ92" s="321"/>
      <c r="CK92" s="321"/>
      <c r="CL92" s="321"/>
      <c r="CM92" s="321"/>
      <c r="CN92" s="321"/>
      <c r="CO92" s="321"/>
      <c r="CP92" s="321"/>
      <c r="CQ92" s="321"/>
      <c r="CR92" s="321"/>
      <c r="CS92" s="321"/>
      <c r="CT92" s="321"/>
      <c r="CU92" s="321"/>
      <c r="CV92" s="321"/>
      <c r="CW92" s="321"/>
      <c r="CX92" s="321"/>
      <c r="CY92" s="321"/>
      <c r="CZ92" s="321"/>
      <c r="DA92" s="321"/>
      <c r="DB92" s="321"/>
      <c r="DC92" s="321"/>
      <c r="DD92" s="321"/>
      <c r="DE92" s="321"/>
      <c r="DF92" s="321"/>
      <c r="DG92" s="321"/>
      <c r="DH92" s="321"/>
      <c r="DI92" s="321"/>
      <c r="DJ92" s="321"/>
    </row>
    <row r="93" spans="1:114" s="322" customFormat="1" ht="20.100000000000001" customHeight="1" x14ac:dyDescent="0.2">
      <c r="A93" s="321"/>
      <c r="B93" s="323"/>
      <c r="C93" s="323"/>
      <c r="D93" s="323"/>
      <c r="E93" s="323"/>
      <c r="F93" s="323"/>
      <c r="G93" s="323"/>
      <c r="H93" s="323"/>
      <c r="I93" s="323"/>
      <c r="J93" s="323"/>
      <c r="K93" s="323"/>
      <c r="L93" s="323"/>
      <c r="M93" s="651"/>
      <c r="N93" s="323"/>
      <c r="O93" s="323"/>
      <c r="P93" s="323"/>
      <c r="Q93" s="323"/>
      <c r="BE93" s="321"/>
      <c r="BF93" s="321"/>
      <c r="BG93" s="321"/>
      <c r="BH93" s="321"/>
      <c r="BI93" s="321"/>
      <c r="BJ93" s="321"/>
      <c r="BK93" s="321"/>
      <c r="BL93" s="321"/>
      <c r="BM93" s="321"/>
      <c r="BN93" s="321"/>
      <c r="BO93" s="321"/>
      <c r="BP93" s="321"/>
      <c r="BQ93" s="321"/>
      <c r="BR93" s="321"/>
      <c r="BS93" s="321"/>
      <c r="BT93" s="321"/>
      <c r="BU93" s="321"/>
      <c r="BV93" s="321"/>
      <c r="BW93" s="321"/>
      <c r="BX93" s="321"/>
      <c r="BY93" s="321"/>
      <c r="BZ93" s="321"/>
      <c r="CA93" s="321"/>
      <c r="CB93" s="321"/>
      <c r="CC93" s="321"/>
      <c r="CD93" s="321"/>
      <c r="CE93" s="321"/>
      <c r="CF93" s="321"/>
      <c r="CG93" s="321"/>
      <c r="CH93" s="321"/>
      <c r="CI93" s="321"/>
      <c r="CJ93" s="321"/>
      <c r="CK93" s="321"/>
      <c r="CL93" s="321"/>
      <c r="CM93" s="321"/>
      <c r="CN93" s="321"/>
      <c r="CO93" s="321"/>
      <c r="CP93" s="321"/>
      <c r="CQ93" s="321"/>
      <c r="CR93" s="321"/>
      <c r="CS93" s="321"/>
      <c r="CT93" s="321"/>
      <c r="CU93" s="321"/>
      <c r="CV93" s="321"/>
      <c r="CW93" s="321"/>
      <c r="CX93" s="321"/>
      <c r="CY93" s="321"/>
      <c r="CZ93" s="321"/>
      <c r="DA93" s="321"/>
      <c r="DB93" s="321"/>
      <c r="DC93" s="321"/>
      <c r="DD93" s="321"/>
      <c r="DE93" s="321"/>
      <c r="DF93" s="321"/>
      <c r="DG93" s="321"/>
      <c r="DH93" s="321"/>
      <c r="DI93" s="321"/>
      <c r="DJ93" s="321"/>
    </row>
    <row r="94" spans="1:114" s="322" customFormat="1" ht="20.100000000000001" customHeight="1" x14ac:dyDescent="0.2">
      <c r="A94" s="321"/>
      <c r="B94" s="323"/>
      <c r="C94" s="323"/>
      <c r="D94" s="323"/>
      <c r="E94" s="323"/>
      <c r="F94" s="323"/>
      <c r="G94" s="323"/>
      <c r="H94" s="323"/>
      <c r="I94" s="323"/>
      <c r="J94" s="323"/>
      <c r="K94" s="323"/>
      <c r="L94" s="323"/>
      <c r="M94" s="651"/>
      <c r="N94" s="323"/>
      <c r="O94" s="323"/>
      <c r="P94" s="323"/>
      <c r="Q94" s="323"/>
      <c r="BE94" s="321"/>
      <c r="BF94" s="321"/>
      <c r="BG94" s="321"/>
      <c r="BH94" s="321"/>
      <c r="BI94" s="321"/>
      <c r="BJ94" s="321"/>
      <c r="BK94" s="321"/>
      <c r="BL94" s="321"/>
      <c r="BM94" s="321"/>
      <c r="BN94" s="321"/>
      <c r="BO94" s="321"/>
      <c r="BP94" s="321"/>
      <c r="BQ94" s="321"/>
      <c r="BR94" s="321"/>
      <c r="BS94" s="321"/>
      <c r="BT94" s="321"/>
      <c r="BU94" s="321"/>
      <c r="BV94" s="321"/>
      <c r="BW94" s="321"/>
      <c r="BX94" s="321"/>
      <c r="BY94" s="321"/>
      <c r="BZ94" s="321"/>
      <c r="CA94" s="321"/>
      <c r="CB94" s="321"/>
      <c r="CC94" s="321"/>
      <c r="CD94" s="321"/>
      <c r="CE94" s="321"/>
      <c r="CF94" s="321"/>
      <c r="CG94" s="321"/>
      <c r="CH94" s="321"/>
      <c r="CI94" s="321"/>
      <c r="CJ94" s="321"/>
      <c r="CK94" s="321"/>
      <c r="CL94" s="321"/>
      <c r="CM94" s="321"/>
      <c r="CN94" s="321"/>
      <c r="CO94" s="321"/>
      <c r="CP94" s="321"/>
      <c r="CQ94" s="321"/>
      <c r="CR94" s="321"/>
      <c r="CS94" s="321"/>
      <c r="CT94" s="321"/>
      <c r="CU94" s="321"/>
      <c r="CV94" s="321"/>
      <c r="CW94" s="321"/>
      <c r="CX94" s="321"/>
      <c r="CY94" s="321"/>
      <c r="CZ94" s="321"/>
      <c r="DA94" s="321"/>
      <c r="DB94" s="321"/>
      <c r="DC94" s="321"/>
      <c r="DD94" s="321"/>
      <c r="DE94" s="321"/>
      <c r="DF94" s="321"/>
      <c r="DG94" s="321"/>
      <c r="DH94" s="321"/>
      <c r="DI94" s="321"/>
      <c r="DJ94" s="321"/>
    </row>
    <row r="95" spans="1:114" s="322" customFormat="1" ht="20.100000000000001" customHeight="1" x14ac:dyDescent="0.2">
      <c r="A95" s="321"/>
      <c r="B95" s="323"/>
      <c r="C95" s="323"/>
      <c r="D95" s="323"/>
      <c r="E95" s="323"/>
      <c r="F95" s="323"/>
      <c r="G95" s="323"/>
      <c r="H95" s="323"/>
      <c r="I95" s="323"/>
      <c r="J95" s="323"/>
      <c r="K95" s="323"/>
      <c r="L95" s="323"/>
      <c r="M95" s="651"/>
      <c r="N95" s="323"/>
      <c r="O95" s="323"/>
      <c r="P95" s="323"/>
      <c r="Q95" s="323"/>
      <c r="BE95" s="321"/>
      <c r="BF95" s="321"/>
      <c r="BG95" s="321"/>
      <c r="BH95" s="321"/>
      <c r="BI95" s="321"/>
      <c r="BJ95" s="321"/>
      <c r="BK95" s="321"/>
      <c r="BL95" s="321"/>
      <c r="BM95" s="321"/>
      <c r="BN95" s="321"/>
      <c r="BO95" s="321"/>
      <c r="BP95" s="321"/>
      <c r="BQ95" s="321"/>
      <c r="BR95" s="321"/>
      <c r="BS95" s="321"/>
      <c r="BT95" s="321"/>
      <c r="BU95" s="321"/>
      <c r="BV95" s="321"/>
      <c r="BW95" s="321"/>
      <c r="BX95" s="321"/>
      <c r="BY95" s="321"/>
      <c r="BZ95" s="321"/>
      <c r="CA95" s="321"/>
      <c r="CB95" s="321"/>
      <c r="CC95" s="321"/>
      <c r="CD95" s="321"/>
      <c r="CE95" s="321"/>
      <c r="CF95" s="321"/>
      <c r="CG95" s="321"/>
      <c r="CH95" s="321"/>
      <c r="CI95" s="321"/>
      <c r="CJ95" s="321"/>
      <c r="CK95" s="321"/>
      <c r="CL95" s="321"/>
      <c r="CM95" s="321"/>
      <c r="CN95" s="321"/>
      <c r="CO95" s="321"/>
      <c r="CP95" s="321"/>
      <c r="CQ95" s="321"/>
      <c r="CR95" s="321"/>
      <c r="CS95" s="321"/>
      <c r="CT95" s="321"/>
      <c r="CU95" s="321"/>
      <c r="CV95" s="321"/>
      <c r="CW95" s="321"/>
      <c r="CX95" s="321"/>
      <c r="CY95" s="321"/>
      <c r="CZ95" s="321"/>
      <c r="DA95" s="321"/>
      <c r="DB95" s="321"/>
      <c r="DC95" s="321"/>
      <c r="DD95" s="321"/>
      <c r="DE95" s="321"/>
      <c r="DF95" s="321"/>
      <c r="DG95" s="321"/>
      <c r="DH95" s="321"/>
      <c r="DI95" s="321"/>
      <c r="DJ95" s="321"/>
    </row>
    <row r="96" spans="1:114" s="322" customFormat="1" ht="20.100000000000001" customHeight="1" x14ac:dyDescent="0.2">
      <c r="A96" s="321"/>
      <c r="B96" s="323"/>
      <c r="C96" s="323"/>
      <c r="D96" s="323"/>
      <c r="E96" s="323"/>
      <c r="F96" s="323"/>
      <c r="G96" s="323"/>
      <c r="H96" s="323"/>
      <c r="I96" s="323"/>
      <c r="J96" s="323"/>
      <c r="K96" s="323"/>
      <c r="L96" s="323"/>
      <c r="M96" s="651"/>
      <c r="N96" s="323"/>
      <c r="O96" s="323"/>
      <c r="P96" s="323"/>
      <c r="Q96" s="323"/>
      <c r="BE96" s="321"/>
      <c r="BF96" s="321"/>
      <c r="BG96" s="321"/>
      <c r="BH96" s="321"/>
      <c r="BI96" s="321"/>
      <c r="BJ96" s="321"/>
      <c r="BK96" s="321"/>
      <c r="BL96" s="321"/>
      <c r="BM96" s="321"/>
      <c r="BN96" s="321"/>
      <c r="BO96" s="321"/>
      <c r="BP96" s="321"/>
      <c r="BQ96" s="321"/>
      <c r="BR96" s="321"/>
      <c r="BS96" s="321"/>
      <c r="BT96" s="321"/>
      <c r="BU96" s="321"/>
      <c r="BV96" s="321"/>
      <c r="BW96" s="321"/>
      <c r="BX96" s="321"/>
      <c r="BY96" s="321"/>
      <c r="BZ96" s="321"/>
      <c r="CA96" s="321"/>
      <c r="CB96" s="321"/>
      <c r="CC96" s="321"/>
      <c r="CD96" s="321"/>
      <c r="CE96" s="321"/>
      <c r="CF96" s="321"/>
      <c r="CG96" s="321"/>
      <c r="CH96" s="321"/>
      <c r="CI96" s="321"/>
      <c r="CJ96" s="321"/>
      <c r="CK96" s="321"/>
      <c r="CL96" s="321"/>
      <c r="CM96" s="321"/>
      <c r="CN96" s="321"/>
      <c r="CO96" s="321"/>
      <c r="CP96" s="321"/>
      <c r="CQ96" s="321"/>
      <c r="CR96" s="321"/>
      <c r="CS96" s="321"/>
      <c r="CT96" s="321"/>
      <c r="CU96" s="321"/>
      <c r="CV96" s="321"/>
      <c r="CW96" s="321"/>
      <c r="CX96" s="321"/>
      <c r="CY96" s="321"/>
      <c r="CZ96" s="321"/>
      <c r="DA96" s="321"/>
      <c r="DB96" s="321"/>
      <c r="DC96" s="321"/>
      <c r="DD96" s="321"/>
      <c r="DE96" s="321"/>
      <c r="DF96" s="321"/>
      <c r="DG96" s="321"/>
      <c r="DH96" s="321"/>
      <c r="DI96" s="321"/>
      <c r="DJ96" s="321"/>
    </row>
    <row r="97" spans="1:114" s="322" customFormat="1" ht="20.100000000000001" customHeight="1" x14ac:dyDescent="0.2">
      <c r="A97" s="321"/>
      <c r="B97" s="323"/>
      <c r="C97" s="323"/>
      <c r="D97" s="323"/>
      <c r="E97" s="323"/>
      <c r="F97" s="323"/>
      <c r="G97" s="323"/>
      <c r="H97" s="323"/>
      <c r="I97" s="323"/>
      <c r="J97" s="323"/>
      <c r="K97" s="323"/>
      <c r="L97" s="323"/>
      <c r="M97" s="651"/>
      <c r="N97" s="323"/>
      <c r="O97" s="323"/>
      <c r="P97" s="323"/>
      <c r="Q97" s="323"/>
      <c r="BE97" s="321"/>
      <c r="BF97" s="321"/>
      <c r="BG97" s="321"/>
      <c r="BH97" s="321"/>
      <c r="BI97" s="321"/>
      <c r="BJ97" s="321"/>
      <c r="BK97" s="321"/>
      <c r="BL97" s="321"/>
      <c r="BM97" s="321"/>
      <c r="BN97" s="321"/>
      <c r="BO97" s="321"/>
      <c r="BP97" s="321"/>
      <c r="BQ97" s="321"/>
      <c r="BR97" s="321"/>
      <c r="BS97" s="321"/>
      <c r="BT97" s="321"/>
      <c r="BU97" s="321"/>
      <c r="BV97" s="321"/>
      <c r="BW97" s="321"/>
      <c r="BX97" s="321"/>
      <c r="BY97" s="321"/>
      <c r="BZ97" s="321"/>
      <c r="CA97" s="321"/>
      <c r="CB97" s="321"/>
      <c r="CC97" s="321"/>
      <c r="CD97" s="321"/>
      <c r="CE97" s="321"/>
      <c r="CF97" s="321"/>
      <c r="CG97" s="321"/>
      <c r="CH97" s="321"/>
      <c r="CI97" s="321"/>
      <c r="CJ97" s="321"/>
      <c r="CK97" s="321"/>
      <c r="CL97" s="321"/>
      <c r="CM97" s="321"/>
      <c r="CN97" s="321"/>
      <c r="CO97" s="321"/>
      <c r="CP97" s="321"/>
      <c r="CQ97" s="321"/>
      <c r="CR97" s="321"/>
      <c r="CS97" s="321"/>
      <c r="CT97" s="321"/>
      <c r="CU97" s="321"/>
      <c r="CV97" s="321"/>
      <c r="CW97" s="321"/>
      <c r="CX97" s="321"/>
      <c r="CY97" s="321"/>
      <c r="CZ97" s="321"/>
      <c r="DA97" s="321"/>
      <c r="DB97" s="321"/>
      <c r="DC97" s="321"/>
      <c r="DD97" s="321"/>
      <c r="DE97" s="321"/>
      <c r="DF97" s="321"/>
      <c r="DG97" s="321"/>
      <c r="DH97" s="321"/>
      <c r="DI97" s="321"/>
      <c r="DJ97" s="321"/>
    </row>
    <row r="98" spans="1:114" s="322" customFormat="1" ht="20.100000000000001" customHeight="1" x14ac:dyDescent="0.2">
      <c r="A98" s="321"/>
      <c r="B98" s="323"/>
      <c r="C98" s="323"/>
      <c r="D98" s="323"/>
      <c r="E98" s="323"/>
      <c r="F98" s="323"/>
      <c r="G98" s="323"/>
      <c r="H98" s="323"/>
      <c r="I98" s="323"/>
      <c r="J98" s="323"/>
      <c r="K98" s="323"/>
      <c r="L98" s="323"/>
      <c r="M98" s="651"/>
      <c r="N98" s="323"/>
      <c r="O98" s="323"/>
      <c r="P98" s="323"/>
      <c r="Q98" s="323"/>
      <c r="BE98" s="321"/>
      <c r="BF98" s="321"/>
      <c r="BG98" s="321"/>
      <c r="BH98" s="321"/>
      <c r="BI98" s="321"/>
      <c r="BJ98" s="321"/>
      <c r="BK98" s="321"/>
      <c r="BL98" s="321"/>
      <c r="BM98" s="321"/>
      <c r="BN98" s="321"/>
      <c r="BO98" s="321"/>
      <c r="BP98" s="321"/>
      <c r="BQ98" s="321"/>
      <c r="BR98" s="321"/>
      <c r="BS98" s="321"/>
      <c r="BT98" s="321"/>
      <c r="BU98" s="321"/>
      <c r="BV98" s="321"/>
      <c r="BW98" s="321"/>
      <c r="BX98" s="321"/>
      <c r="BY98" s="321"/>
      <c r="BZ98" s="321"/>
      <c r="CA98" s="321"/>
      <c r="CB98" s="321"/>
      <c r="CC98" s="321"/>
      <c r="CD98" s="321"/>
      <c r="CE98" s="321"/>
      <c r="CF98" s="321"/>
      <c r="CG98" s="321"/>
      <c r="CH98" s="321"/>
      <c r="CI98" s="321"/>
      <c r="CJ98" s="321"/>
      <c r="CK98" s="321"/>
      <c r="CL98" s="321"/>
      <c r="CM98" s="321"/>
      <c r="CN98" s="321"/>
      <c r="CO98" s="321"/>
      <c r="CP98" s="321"/>
      <c r="CQ98" s="321"/>
      <c r="CR98" s="321"/>
      <c r="CS98" s="321"/>
      <c r="CT98" s="321"/>
      <c r="CU98" s="321"/>
      <c r="CV98" s="321"/>
      <c r="CW98" s="321"/>
      <c r="CX98" s="321"/>
      <c r="CY98" s="321"/>
      <c r="CZ98" s="321"/>
      <c r="DA98" s="321"/>
      <c r="DB98" s="321"/>
      <c r="DC98" s="321"/>
      <c r="DD98" s="321"/>
      <c r="DE98" s="321"/>
      <c r="DF98" s="321"/>
      <c r="DG98" s="321"/>
      <c r="DH98" s="321"/>
      <c r="DI98" s="321"/>
      <c r="DJ98" s="321"/>
    </row>
    <row r="99" spans="1:114" s="322" customFormat="1" ht="20.100000000000001" customHeight="1" x14ac:dyDescent="0.2">
      <c r="A99" s="321"/>
      <c r="B99" s="323"/>
      <c r="C99" s="323"/>
      <c r="D99" s="323"/>
      <c r="E99" s="323"/>
      <c r="F99" s="323"/>
      <c r="G99" s="323"/>
      <c r="H99" s="323"/>
      <c r="I99" s="323"/>
      <c r="J99" s="323"/>
      <c r="K99" s="323"/>
      <c r="L99" s="323"/>
      <c r="M99" s="651"/>
      <c r="N99" s="323"/>
      <c r="O99" s="323"/>
      <c r="P99" s="323"/>
      <c r="Q99" s="323"/>
      <c r="BE99" s="321"/>
      <c r="BF99" s="321"/>
      <c r="BG99" s="321"/>
      <c r="BH99" s="321"/>
      <c r="BI99" s="321"/>
      <c r="BJ99" s="321"/>
      <c r="BK99" s="321"/>
      <c r="BL99" s="321"/>
      <c r="BM99" s="321"/>
      <c r="BN99" s="321"/>
      <c r="BO99" s="321"/>
      <c r="BP99" s="321"/>
      <c r="BQ99" s="321"/>
      <c r="BR99" s="321"/>
      <c r="BS99" s="321"/>
      <c r="BT99" s="321"/>
      <c r="BU99" s="321"/>
      <c r="BV99" s="321"/>
      <c r="BW99" s="321"/>
      <c r="BX99" s="321"/>
      <c r="BY99" s="321"/>
      <c r="BZ99" s="321"/>
      <c r="CA99" s="321"/>
      <c r="CB99" s="321"/>
      <c r="CC99" s="321"/>
      <c r="CD99" s="321"/>
      <c r="CE99" s="321"/>
      <c r="CF99" s="321"/>
      <c r="CG99" s="321"/>
      <c r="CH99" s="321"/>
      <c r="CI99" s="321"/>
      <c r="CJ99" s="321"/>
      <c r="CK99" s="321"/>
      <c r="CL99" s="321"/>
      <c r="CM99" s="321"/>
      <c r="CN99" s="321"/>
      <c r="CO99" s="321"/>
      <c r="CP99" s="321"/>
      <c r="CQ99" s="321"/>
      <c r="CR99" s="321"/>
      <c r="CS99" s="321"/>
      <c r="CT99" s="321"/>
      <c r="CU99" s="321"/>
      <c r="CV99" s="321"/>
      <c r="CW99" s="321"/>
      <c r="CX99" s="321"/>
      <c r="CY99" s="321"/>
      <c r="CZ99" s="321"/>
      <c r="DA99" s="321"/>
      <c r="DB99" s="321"/>
      <c r="DC99" s="321"/>
      <c r="DD99" s="321"/>
      <c r="DE99" s="321"/>
      <c r="DF99" s="321"/>
      <c r="DG99" s="321"/>
      <c r="DH99" s="321"/>
      <c r="DI99" s="321"/>
      <c r="DJ99" s="321"/>
    </row>
    <row r="100" spans="1:114" s="322" customFormat="1" ht="20.100000000000001" customHeight="1" x14ac:dyDescent="0.2">
      <c r="A100" s="321"/>
      <c r="B100" s="323"/>
      <c r="C100" s="323"/>
      <c r="D100" s="323"/>
      <c r="E100" s="323"/>
      <c r="F100" s="323"/>
      <c r="G100" s="323"/>
      <c r="H100" s="323"/>
      <c r="I100" s="323"/>
      <c r="J100" s="323"/>
      <c r="K100" s="323"/>
      <c r="L100" s="323"/>
      <c r="M100" s="651"/>
      <c r="N100" s="323"/>
      <c r="O100" s="323"/>
      <c r="P100" s="323"/>
      <c r="Q100" s="323"/>
      <c r="BE100" s="321"/>
      <c r="BF100" s="321"/>
      <c r="BG100" s="321"/>
      <c r="BH100" s="321"/>
      <c r="BI100" s="321"/>
      <c r="BJ100" s="321"/>
      <c r="BK100" s="321"/>
      <c r="BL100" s="321"/>
      <c r="BM100" s="321"/>
      <c r="BN100" s="321"/>
      <c r="BO100" s="321"/>
      <c r="BP100" s="321"/>
      <c r="BQ100" s="321"/>
      <c r="BR100" s="321"/>
      <c r="BS100" s="321"/>
      <c r="BT100" s="321"/>
      <c r="BU100" s="321"/>
      <c r="BV100" s="321"/>
      <c r="BW100" s="321"/>
      <c r="BX100" s="321"/>
      <c r="BY100" s="321"/>
      <c r="BZ100" s="321"/>
      <c r="CA100" s="321"/>
      <c r="CB100" s="321"/>
      <c r="CC100" s="321"/>
      <c r="CD100" s="321"/>
      <c r="CE100" s="321"/>
      <c r="CF100" s="321"/>
      <c r="CG100" s="321"/>
      <c r="CH100" s="321"/>
      <c r="CI100" s="321"/>
      <c r="CJ100" s="321"/>
      <c r="CK100" s="321"/>
      <c r="CL100" s="321"/>
      <c r="CM100" s="321"/>
      <c r="CN100" s="321"/>
      <c r="CO100" s="321"/>
      <c r="CP100" s="321"/>
      <c r="CQ100" s="321"/>
      <c r="CR100" s="321"/>
      <c r="CS100" s="321"/>
      <c r="CT100" s="321"/>
      <c r="CU100" s="321"/>
      <c r="CV100" s="321"/>
      <c r="CW100" s="321"/>
      <c r="CX100" s="321"/>
      <c r="CY100" s="321"/>
      <c r="CZ100" s="321"/>
      <c r="DA100" s="321"/>
      <c r="DB100" s="321"/>
      <c r="DC100" s="321"/>
      <c r="DD100" s="321"/>
      <c r="DE100" s="321"/>
      <c r="DF100" s="321"/>
      <c r="DG100" s="321"/>
      <c r="DH100" s="321"/>
      <c r="DI100" s="321"/>
      <c r="DJ100" s="321"/>
    </row>
    <row r="101" spans="1:114" ht="20.100000000000001" customHeight="1" x14ac:dyDescent="0.4">
      <c r="BE101" s="317"/>
      <c r="BF101" s="317"/>
      <c r="BG101" s="317"/>
      <c r="BH101" s="317"/>
      <c r="BI101" s="317"/>
      <c r="BJ101" s="317"/>
      <c r="BK101" s="317"/>
      <c r="BL101" s="317"/>
      <c r="BM101" s="317"/>
      <c r="BN101" s="317"/>
      <c r="BO101" s="317"/>
      <c r="BP101" s="317"/>
      <c r="BQ101" s="317"/>
      <c r="BR101" s="317"/>
      <c r="BS101" s="317"/>
      <c r="BT101" s="317"/>
      <c r="BU101" s="317"/>
      <c r="BV101" s="317"/>
      <c r="BW101" s="317"/>
      <c r="BX101" s="317"/>
      <c r="BY101" s="317"/>
      <c r="BZ101" s="317"/>
      <c r="CA101" s="317"/>
      <c r="CB101" s="317"/>
      <c r="CC101" s="317"/>
      <c r="CD101" s="317"/>
      <c r="CE101" s="317"/>
      <c r="CF101" s="317"/>
      <c r="CG101" s="317"/>
      <c r="CH101" s="317"/>
      <c r="CI101" s="317"/>
      <c r="CJ101" s="317"/>
      <c r="CK101" s="317"/>
      <c r="CL101" s="317"/>
      <c r="CM101" s="317"/>
      <c r="CN101" s="317"/>
      <c r="CO101" s="317"/>
      <c r="CP101" s="317"/>
      <c r="CQ101" s="317"/>
      <c r="CR101" s="317"/>
      <c r="CS101" s="317"/>
      <c r="CT101" s="317"/>
      <c r="CU101" s="317"/>
      <c r="CV101" s="317"/>
      <c r="CW101" s="317"/>
      <c r="CX101" s="317"/>
      <c r="CY101" s="317"/>
      <c r="CZ101" s="317"/>
      <c r="DA101" s="317"/>
      <c r="DB101" s="317"/>
      <c r="DC101" s="317"/>
      <c r="DD101" s="317"/>
      <c r="DE101" s="317"/>
      <c r="DF101" s="317"/>
      <c r="DG101" s="317"/>
      <c r="DH101" s="317"/>
      <c r="DI101" s="317"/>
      <c r="DJ101" s="317"/>
    </row>
    <row r="102" spans="1:114" ht="9.9499999999999993" customHeight="1" x14ac:dyDescent="0.4">
      <c r="BE102" s="317"/>
      <c r="BF102" s="317"/>
      <c r="BG102" s="317"/>
      <c r="BH102" s="317"/>
      <c r="BI102" s="317"/>
      <c r="BJ102" s="317"/>
      <c r="BK102" s="317"/>
      <c r="BL102" s="317"/>
      <c r="BM102" s="317"/>
      <c r="BN102" s="317"/>
      <c r="BO102" s="317"/>
      <c r="BP102" s="317"/>
      <c r="BQ102" s="317"/>
      <c r="BR102" s="317"/>
      <c r="BS102" s="317"/>
      <c r="BT102" s="317"/>
      <c r="BU102" s="317"/>
      <c r="BV102" s="317"/>
      <c r="BW102" s="317"/>
      <c r="BX102" s="317"/>
      <c r="BY102" s="317"/>
      <c r="BZ102" s="317"/>
      <c r="CA102" s="317"/>
      <c r="CB102" s="317"/>
      <c r="CC102" s="317"/>
      <c r="CD102" s="317"/>
      <c r="CE102" s="317"/>
      <c r="CF102" s="317"/>
      <c r="CG102" s="317"/>
      <c r="CH102" s="317"/>
      <c r="CI102" s="317"/>
      <c r="CJ102" s="317"/>
      <c r="CK102" s="317"/>
      <c r="CL102" s="317"/>
      <c r="CM102" s="317"/>
      <c r="CN102" s="317"/>
      <c r="CO102" s="317"/>
      <c r="CP102" s="317"/>
      <c r="CQ102" s="317"/>
      <c r="CR102" s="317"/>
      <c r="CS102" s="317"/>
      <c r="CT102" s="317"/>
      <c r="CU102" s="317"/>
      <c r="CV102" s="317"/>
      <c r="CW102" s="317"/>
      <c r="CX102" s="317"/>
      <c r="CY102" s="317"/>
      <c r="CZ102" s="317"/>
      <c r="DA102" s="317"/>
      <c r="DB102" s="317"/>
      <c r="DC102" s="317"/>
      <c r="DD102" s="317"/>
      <c r="DE102" s="317"/>
      <c r="DF102" s="317"/>
      <c r="DG102" s="317"/>
      <c r="DH102" s="317"/>
      <c r="DI102" s="317"/>
      <c r="DJ102" s="317"/>
    </row>
    <row r="103" spans="1:114" ht="20.100000000000001" customHeight="1" x14ac:dyDescent="0.4">
      <c r="BE103" s="317"/>
      <c r="BF103" s="317"/>
      <c r="BG103" s="317"/>
      <c r="BH103" s="317"/>
      <c r="BI103" s="317"/>
      <c r="BJ103" s="317"/>
      <c r="BK103" s="317"/>
      <c r="BL103" s="317"/>
      <c r="BM103" s="317"/>
      <c r="BN103" s="317"/>
      <c r="BO103" s="317"/>
      <c r="BP103" s="317"/>
      <c r="BQ103" s="317"/>
      <c r="BR103" s="317"/>
      <c r="BS103" s="317"/>
      <c r="BT103" s="317"/>
      <c r="BU103" s="317"/>
      <c r="BV103" s="317"/>
      <c r="BW103" s="317"/>
      <c r="BX103" s="317"/>
      <c r="BY103" s="317"/>
      <c r="BZ103" s="317"/>
      <c r="CA103" s="317"/>
      <c r="CB103" s="317"/>
      <c r="CC103" s="317"/>
      <c r="CD103" s="317"/>
      <c r="CE103" s="317"/>
      <c r="CF103" s="317"/>
      <c r="CG103" s="317"/>
      <c r="CH103" s="317"/>
      <c r="CI103" s="317"/>
      <c r="CJ103" s="317"/>
      <c r="CK103" s="317"/>
      <c r="CL103" s="317"/>
      <c r="CM103" s="317"/>
      <c r="CN103" s="317"/>
      <c r="CO103" s="317"/>
      <c r="CP103" s="317"/>
      <c r="CQ103" s="317"/>
      <c r="CR103" s="317"/>
      <c r="CS103" s="317"/>
      <c r="CT103" s="317"/>
      <c r="CU103" s="317"/>
      <c r="CV103" s="317"/>
      <c r="CW103" s="317"/>
      <c r="CX103" s="317"/>
      <c r="CY103" s="317"/>
      <c r="CZ103" s="317"/>
      <c r="DA103" s="317"/>
      <c r="DB103" s="317"/>
      <c r="DC103" s="317"/>
      <c r="DD103" s="317"/>
      <c r="DE103" s="317"/>
      <c r="DF103" s="317"/>
      <c r="DG103" s="317"/>
      <c r="DH103" s="317"/>
      <c r="DI103" s="317"/>
      <c r="DJ103" s="317"/>
    </row>
    <row r="104" spans="1:114" ht="20.100000000000001" customHeight="1" x14ac:dyDescent="0.4">
      <c r="BE104" s="317"/>
      <c r="BF104" s="317"/>
      <c r="BG104" s="317"/>
      <c r="BH104" s="317"/>
      <c r="BI104" s="317"/>
      <c r="BJ104" s="317"/>
      <c r="BK104" s="317"/>
      <c r="BL104" s="317"/>
      <c r="BM104" s="317"/>
      <c r="BN104" s="317"/>
      <c r="BO104" s="317"/>
      <c r="BP104" s="317"/>
      <c r="BQ104" s="317"/>
      <c r="BR104" s="317"/>
      <c r="BS104" s="317"/>
      <c r="BT104" s="317"/>
      <c r="BU104" s="317"/>
      <c r="BV104" s="317"/>
      <c r="BW104" s="317"/>
      <c r="BX104" s="317"/>
      <c r="BY104" s="317"/>
      <c r="BZ104" s="317"/>
      <c r="CA104" s="317"/>
      <c r="CB104" s="317"/>
      <c r="CC104" s="317"/>
      <c r="CD104" s="317"/>
      <c r="CE104" s="317"/>
      <c r="CF104" s="317"/>
      <c r="CG104" s="317"/>
      <c r="CH104" s="317"/>
      <c r="CI104" s="317"/>
      <c r="CJ104" s="317"/>
      <c r="CK104" s="317"/>
      <c r="CL104" s="317"/>
      <c r="CM104" s="317"/>
      <c r="CN104" s="317"/>
      <c r="CO104" s="317"/>
      <c r="CP104" s="317"/>
      <c r="CQ104" s="317"/>
      <c r="CR104" s="317"/>
      <c r="CS104" s="317"/>
      <c r="CT104" s="317"/>
      <c r="CU104" s="317"/>
      <c r="CV104" s="317"/>
      <c r="CW104" s="317"/>
      <c r="CX104" s="317"/>
      <c r="CY104" s="317"/>
      <c r="CZ104" s="317"/>
      <c r="DA104" s="317"/>
      <c r="DB104" s="317"/>
      <c r="DC104" s="317"/>
      <c r="DD104" s="317"/>
      <c r="DE104" s="317"/>
      <c r="DF104" s="317"/>
      <c r="DG104" s="317"/>
      <c r="DH104" s="317"/>
      <c r="DI104" s="317"/>
      <c r="DJ104" s="317"/>
    </row>
    <row r="105" spans="1:114" ht="20.100000000000001" customHeight="1" x14ac:dyDescent="0.4">
      <c r="BE105" s="317"/>
      <c r="BF105" s="317"/>
      <c r="BG105" s="317"/>
      <c r="BH105" s="317"/>
      <c r="BI105" s="317"/>
      <c r="BJ105" s="317"/>
      <c r="BK105" s="317"/>
      <c r="BL105" s="317"/>
      <c r="BM105" s="317"/>
      <c r="BN105" s="317"/>
      <c r="BO105" s="317"/>
      <c r="BP105" s="317"/>
      <c r="BQ105" s="317"/>
      <c r="BR105" s="317"/>
      <c r="BS105" s="317"/>
      <c r="BT105" s="317"/>
      <c r="BU105" s="317"/>
      <c r="BV105" s="317"/>
      <c r="BW105" s="317"/>
      <c r="BX105" s="317"/>
      <c r="BY105" s="317"/>
      <c r="BZ105" s="317"/>
      <c r="CA105" s="317"/>
      <c r="CB105" s="317"/>
      <c r="CC105" s="317"/>
      <c r="CD105" s="317"/>
      <c r="CE105" s="317"/>
      <c r="CF105" s="317"/>
      <c r="CG105" s="317"/>
      <c r="CH105" s="317"/>
      <c r="CI105" s="317"/>
      <c r="CJ105" s="317"/>
      <c r="CK105" s="317"/>
      <c r="CL105" s="317"/>
      <c r="CM105" s="317"/>
      <c r="CN105" s="317"/>
      <c r="CO105" s="317"/>
      <c r="CP105" s="317"/>
      <c r="CQ105" s="317"/>
      <c r="CR105" s="317"/>
      <c r="CS105" s="317"/>
      <c r="CT105" s="317"/>
      <c r="CU105" s="317"/>
      <c r="CV105" s="317"/>
      <c r="CW105" s="317"/>
      <c r="CX105" s="317"/>
      <c r="CY105" s="317"/>
      <c r="CZ105" s="317"/>
      <c r="DA105" s="317"/>
      <c r="DB105" s="317"/>
      <c r="DC105" s="317"/>
      <c r="DD105" s="317"/>
      <c r="DE105" s="317"/>
      <c r="DF105" s="317"/>
      <c r="DG105" s="317"/>
      <c r="DH105" s="317"/>
      <c r="DI105" s="317"/>
      <c r="DJ105" s="317"/>
    </row>
    <row r="106" spans="1:114" ht="20.100000000000001" customHeight="1" x14ac:dyDescent="0.4"/>
    <row r="107" spans="1:114" s="322" customFormat="1" ht="20.100000000000001" customHeight="1" x14ac:dyDescent="0.2">
      <c r="A107" s="321"/>
      <c r="B107" s="323"/>
      <c r="C107" s="323"/>
      <c r="D107" s="323"/>
      <c r="E107" s="323"/>
      <c r="F107" s="323"/>
      <c r="G107" s="323"/>
      <c r="H107" s="323"/>
      <c r="I107" s="323"/>
      <c r="J107" s="323"/>
      <c r="K107" s="323"/>
      <c r="L107" s="323"/>
      <c r="M107" s="651"/>
      <c r="N107" s="323"/>
      <c r="O107" s="323"/>
      <c r="P107" s="323"/>
      <c r="Q107" s="323"/>
    </row>
    <row r="108" spans="1:114" s="322" customFormat="1" ht="20.100000000000001" customHeight="1" x14ac:dyDescent="0.2">
      <c r="A108" s="321"/>
      <c r="B108" s="323"/>
      <c r="C108" s="323"/>
      <c r="D108" s="323"/>
      <c r="E108" s="323"/>
      <c r="F108" s="323"/>
      <c r="G108" s="323"/>
      <c r="H108" s="323"/>
      <c r="I108" s="323"/>
      <c r="J108" s="323"/>
      <c r="K108" s="323"/>
      <c r="L108" s="323"/>
      <c r="M108" s="651"/>
      <c r="N108" s="323"/>
      <c r="O108" s="323"/>
      <c r="P108" s="323"/>
      <c r="Q108" s="323"/>
    </row>
    <row r="109" spans="1:114" s="322" customFormat="1" ht="20.100000000000001" customHeight="1" x14ac:dyDescent="0.2">
      <c r="A109" s="321"/>
      <c r="B109" s="323"/>
      <c r="C109" s="323"/>
      <c r="D109" s="323"/>
      <c r="E109" s="323"/>
      <c r="F109" s="323"/>
      <c r="G109" s="323"/>
      <c r="H109" s="323"/>
      <c r="I109" s="323"/>
      <c r="J109" s="323"/>
      <c r="K109" s="323"/>
      <c r="L109" s="323"/>
      <c r="M109" s="651"/>
      <c r="N109" s="323"/>
      <c r="O109" s="323"/>
      <c r="P109" s="323"/>
      <c r="Q109" s="323"/>
    </row>
    <row r="110" spans="1:114" s="322" customFormat="1" ht="20.100000000000001" customHeight="1" x14ac:dyDescent="0.2">
      <c r="A110" s="321"/>
      <c r="B110" s="323"/>
      <c r="C110" s="323"/>
      <c r="D110" s="323"/>
      <c r="E110" s="323"/>
      <c r="F110" s="323"/>
      <c r="G110" s="323"/>
      <c r="H110" s="323"/>
      <c r="I110" s="323"/>
      <c r="J110" s="323"/>
      <c r="K110" s="323"/>
      <c r="L110" s="323"/>
      <c r="M110" s="651"/>
      <c r="N110" s="323"/>
      <c r="O110" s="323"/>
      <c r="P110" s="323"/>
      <c r="Q110" s="323"/>
    </row>
    <row r="111" spans="1:114" s="322" customFormat="1" ht="20.100000000000001" customHeight="1" x14ac:dyDescent="0.2">
      <c r="A111" s="321"/>
      <c r="B111" s="323"/>
      <c r="C111" s="323"/>
      <c r="D111" s="323"/>
      <c r="E111" s="323"/>
      <c r="F111" s="323"/>
      <c r="G111" s="323"/>
      <c r="H111" s="323"/>
      <c r="I111" s="323"/>
      <c r="J111" s="323"/>
      <c r="K111" s="323"/>
      <c r="L111" s="323"/>
      <c r="M111" s="651"/>
      <c r="N111" s="323"/>
      <c r="O111" s="323"/>
      <c r="P111" s="323"/>
      <c r="Q111" s="323"/>
    </row>
    <row r="112" spans="1:114" s="322" customFormat="1" ht="20.100000000000001" customHeight="1" x14ac:dyDescent="0.2">
      <c r="A112" s="321"/>
      <c r="B112" s="323"/>
      <c r="C112" s="323"/>
      <c r="D112" s="323"/>
      <c r="E112" s="323"/>
      <c r="F112" s="323"/>
      <c r="G112" s="323"/>
      <c r="H112" s="323"/>
      <c r="I112" s="323"/>
      <c r="J112" s="323"/>
      <c r="K112" s="323"/>
      <c r="L112" s="323"/>
      <c r="M112" s="651"/>
      <c r="N112" s="323"/>
      <c r="O112" s="323"/>
      <c r="P112" s="323"/>
      <c r="Q112" s="323"/>
    </row>
    <row r="113" spans="1:17" s="322" customFormat="1" ht="20.100000000000001" customHeight="1" x14ac:dyDescent="0.2">
      <c r="A113" s="321"/>
      <c r="B113" s="323"/>
      <c r="C113" s="323"/>
      <c r="D113" s="323"/>
      <c r="E113" s="323"/>
      <c r="F113" s="323"/>
      <c r="G113" s="323"/>
      <c r="H113" s="323"/>
      <c r="I113" s="323"/>
      <c r="J113" s="323"/>
      <c r="K113" s="323"/>
      <c r="L113" s="323"/>
      <c r="M113" s="651"/>
      <c r="N113" s="323"/>
      <c r="O113" s="323"/>
      <c r="P113" s="323"/>
      <c r="Q113" s="323"/>
    </row>
    <row r="114" spans="1:17" s="322" customFormat="1" ht="20.100000000000001" customHeight="1" x14ac:dyDescent="0.2">
      <c r="A114" s="321"/>
      <c r="B114" s="323"/>
      <c r="C114" s="323"/>
      <c r="D114" s="323"/>
      <c r="E114" s="323"/>
      <c r="F114" s="323"/>
      <c r="G114" s="323"/>
      <c r="H114" s="323"/>
      <c r="I114" s="323"/>
      <c r="J114" s="323"/>
      <c r="K114" s="323"/>
      <c r="L114" s="323"/>
      <c r="M114" s="651"/>
      <c r="N114" s="323"/>
      <c r="O114" s="323"/>
      <c r="P114" s="323"/>
      <c r="Q114" s="323"/>
    </row>
    <row r="115" spans="1:17" s="322" customFormat="1" ht="20.100000000000001" customHeight="1" x14ac:dyDescent="0.2">
      <c r="A115" s="321"/>
      <c r="B115" s="323"/>
      <c r="C115" s="323"/>
      <c r="D115" s="323"/>
      <c r="E115" s="323"/>
      <c r="F115" s="323"/>
      <c r="G115" s="323"/>
      <c r="H115" s="323"/>
      <c r="I115" s="323"/>
      <c r="J115" s="323"/>
      <c r="K115" s="323"/>
      <c r="L115" s="323"/>
      <c r="M115" s="651"/>
      <c r="N115" s="323"/>
      <c r="O115" s="323"/>
      <c r="P115" s="323"/>
      <c r="Q115" s="323"/>
    </row>
    <row r="116" spans="1:17" s="322" customFormat="1" ht="20.100000000000001" customHeight="1" x14ac:dyDescent="0.2">
      <c r="A116" s="321"/>
      <c r="B116" s="323"/>
      <c r="C116" s="323"/>
      <c r="D116" s="323"/>
      <c r="E116" s="323"/>
      <c r="F116" s="323"/>
      <c r="G116" s="323"/>
      <c r="H116" s="323"/>
      <c r="I116" s="323"/>
      <c r="J116" s="323"/>
      <c r="K116" s="323"/>
      <c r="L116" s="323"/>
      <c r="M116" s="651"/>
      <c r="N116" s="323"/>
      <c r="O116" s="323"/>
      <c r="P116" s="323"/>
      <c r="Q116" s="323"/>
    </row>
    <row r="117" spans="1:17" s="322" customFormat="1" ht="20.100000000000001" customHeight="1" x14ac:dyDescent="0.2">
      <c r="A117" s="321"/>
      <c r="B117" s="323"/>
      <c r="C117" s="323"/>
      <c r="D117" s="323"/>
      <c r="E117" s="323"/>
      <c r="F117" s="323"/>
      <c r="G117" s="323"/>
      <c r="H117" s="323"/>
      <c r="I117" s="323"/>
      <c r="J117" s="323"/>
      <c r="K117" s="323"/>
      <c r="L117" s="323"/>
      <c r="M117" s="651"/>
      <c r="N117" s="323"/>
      <c r="O117" s="323"/>
      <c r="P117" s="323"/>
      <c r="Q117" s="323"/>
    </row>
    <row r="118" spans="1:17" s="322" customFormat="1" ht="20.100000000000001" customHeight="1" x14ac:dyDescent="0.2">
      <c r="A118" s="321"/>
      <c r="B118" s="323"/>
      <c r="C118" s="323"/>
      <c r="D118" s="323"/>
      <c r="E118" s="323"/>
      <c r="F118" s="323"/>
      <c r="G118" s="323"/>
      <c r="H118" s="323"/>
      <c r="I118" s="323"/>
      <c r="J118" s="323"/>
      <c r="K118" s="323"/>
      <c r="L118" s="323"/>
      <c r="M118" s="651"/>
      <c r="N118" s="323"/>
      <c r="O118" s="323"/>
      <c r="P118" s="323"/>
      <c r="Q118" s="323"/>
    </row>
    <row r="119" spans="1:17" s="322" customFormat="1" ht="20.100000000000001" customHeight="1" x14ac:dyDescent="0.2">
      <c r="A119" s="321"/>
      <c r="B119" s="323"/>
      <c r="C119" s="323"/>
      <c r="D119" s="323"/>
      <c r="E119" s="323"/>
      <c r="F119" s="323"/>
      <c r="G119" s="323"/>
      <c r="H119" s="323"/>
      <c r="I119" s="323"/>
      <c r="J119" s="323"/>
      <c r="K119" s="323"/>
      <c r="L119" s="323"/>
      <c r="M119" s="651"/>
      <c r="N119" s="323"/>
      <c r="O119" s="323"/>
      <c r="P119" s="323"/>
      <c r="Q119" s="323"/>
    </row>
    <row r="120" spans="1:17" s="322" customFormat="1" ht="20.100000000000001" customHeight="1" x14ac:dyDescent="0.2">
      <c r="A120" s="321"/>
      <c r="B120" s="323"/>
      <c r="C120" s="323"/>
      <c r="D120" s="323"/>
      <c r="E120" s="323"/>
      <c r="F120" s="323"/>
      <c r="G120" s="323"/>
      <c r="H120" s="323"/>
      <c r="I120" s="323"/>
      <c r="J120" s="323"/>
      <c r="K120" s="323"/>
      <c r="L120" s="323"/>
      <c r="M120" s="651"/>
      <c r="N120" s="323"/>
      <c r="O120" s="323"/>
      <c r="P120" s="323"/>
      <c r="Q120" s="323"/>
    </row>
    <row r="121" spans="1:17" s="322" customFormat="1" ht="20.100000000000001" customHeight="1" x14ac:dyDescent="0.2">
      <c r="A121" s="321"/>
      <c r="B121" s="323"/>
      <c r="C121" s="323"/>
      <c r="D121" s="323"/>
      <c r="E121" s="323"/>
      <c r="F121" s="323"/>
      <c r="G121" s="323"/>
      <c r="H121" s="323"/>
      <c r="I121" s="323"/>
      <c r="J121" s="323"/>
      <c r="K121" s="323"/>
      <c r="L121" s="323"/>
      <c r="M121" s="651"/>
      <c r="N121" s="323"/>
      <c r="O121" s="323"/>
      <c r="P121" s="323"/>
      <c r="Q121" s="323"/>
    </row>
    <row r="122" spans="1:17" s="322" customFormat="1" ht="20.100000000000001" customHeight="1" x14ac:dyDescent="0.2">
      <c r="A122" s="321"/>
      <c r="B122" s="323"/>
      <c r="C122" s="323"/>
      <c r="D122" s="323"/>
      <c r="E122" s="323"/>
      <c r="F122" s="323"/>
      <c r="G122" s="323"/>
      <c r="H122" s="323"/>
      <c r="I122" s="323"/>
      <c r="J122" s="323"/>
      <c r="K122" s="323"/>
      <c r="L122" s="323"/>
      <c r="M122" s="651"/>
      <c r="N122" s="323"/>
      <c r="O122" s="323"/>
      <c r="P122" s="323"/>
      <c r="Q122" s="323"/>
    </row>
    <row r="123" spans="1:17" s="322" customFormat="1" ht="19.899999999999999" customHeight="1" x14ac:dyDescent="0.2">
      <c r="A123" s="321"/>
      <c r="B123" s="323"/>
      <c r="C123" s="323"/>
      <c r="D123" s="323"/>
      <c r="E123" s="323"/>
      <c r="F123" s="323"/>
      <c r="G123" s="323"/>
      <c r="H123" s="323"/>
      <c r="I123" s="323"/>
      <c r="J123" s="323"/>
      <c r="K123" s="323"/>
      <c r="L123" s="323"/>
      <c r="M123" s="651"/>
      <c r="N123" s="323"/>
      <c r="O123" s="323"/>
      <c r="P123" s="323"/>
      <c r="Q123" s="323"/>
    </row>
    <row r="124" spans="1:17" s="322" customFormat="1" ht="20.100000000000001" customHeight="1" x14ac:dyDescent="0.2">
      <c r="A124" s="321"/>
      <c r="B124" s="323"/>
      <c r="C124" s="323"/>
      <c r="D124" s="323"/>
      <c r="E124" s="323"/>
      <c r="F124" s="323"/>
      <c r="G124" s="323"/>
      <c r="H124" s="323"/>
      <c r="I124" s="323"/>
      <c r="J124" s="323"/>
      <c r="K124" s="323"/>
      <c r="L124" s="323"/>
      <c r="M124" s="651"/>
      <c r="N124" s="323"/>
      <c r="O124" s="323"/>
      <c r="P124" s="323"/>
      <c r="Q124" s="323"/>
    </row>
    <row r="125" spans="1:17" s="322" customFormat="1" ht="20.100000000000001" customHeight="1" x14ac:dyDescent="0.2">
      <c r="A125" s="321"/>
      <c r="B125" s="323"/>
      <c r="C125" s="323"/>
      <c r="D125" s="323"/>
      <c r="E125" s="323"/>
      <c r="F125" s="323"/>
      <c r="G125" s="323"/>
      <c r="H125" s="323"/>
      <c r="I125" s="323"/>
      <c r="J125" s="323"/>
      <c r="K125" s="323"/>
      <c r="L125" s="323"/>
      <c r="M125" s="651"/>
      <c r="N125" s="323"/>
      <c r="O125" s="323"/>
      <c r="P125" s="323"/>
      <c r="Q125" s="323"/>
    </row>
    <row r="126" spans="1:17" s="322" customFormat="1" ht="20.100000000000001" customHeight="1" x14ac:dyDescent="0.2">
      <c r="A126" s="321"/>
      <c r="B126" s="323"/>
      <c r="C126" s="323"/>
      <c r="D126" s="323"/>
      <c r="E126" s="323"/>
      <c r="F126" s="323"/>
      <c r="G126" s="323"/>
      <c r="H126" s="323"/>
      <c r="I126" s="323"/>
      <c r="J126" s="323"/>
      <c r="K126" s="323"/>
      <c r="L126" s="323"/>
      <c r="M126" s="651"/>
      <c r="N126" s="323"/>
      <c r="O126" s="323"/>
      <c r="P126" s="323"/>
      <c r="Q126" s="323"/>
    </row>
    <row r="127" spans="1:17" s="322" customFormat="1" ht="20.100000000000001" customHeight="1" x14ac:dyDescent="0.2">
      <c r="A127" s="321"/>
      <c r="B127" s="323"/>
      <c r="C127" s="323"/>
      <c r="D127" s="323"/>
      <c r="E127" s="323"/>
      <c r="F127" s="323"/>
      <c r="G127" s="323"/>
      <c r="H127" s="323"/>
      <c r="I127" s="323"/>
      <c r="J127" s="323"/>
      <c r="K127" s="323"/>
      <c r="L127" s="323"/>
      <c r="M127" s="651"/>
      <c r="N127" s="323"/>
      <c r="O127" s="323"/>
      <c r="P127" s="323"/>
      <c r="Q127" s="323"/>
    </row>
    <row r="128" spans="1:17" s="322" customFormat="1" ht="20.100000000000001" customHeight="1" x14ac:dyDescent="0.2">
      <c r="A128" s="321"/>
      <c r="B128" s="323"/>
      <c r="C128" s="323"/>
      <c r="D128" s="323"/>
      <c r="E128" s="323"/>
      <c r="F128" s="323"/>
      <c r="G128" s="323"/>
      <c r="H128" s="323"/>
      <c r="I128" s="323"/>
      <c r="J128" s="323"/>
      <c r="K128" s="323"/>
      <c r="L128" s="323"/>
      <c r="M128" s="651"/>
      <c r="N128" s="323"/>
      <c r="O128" s="323"/>
      <c r="P128" s="323"/>
      <c r="Q128" s="323"/>
    </row>
    <row r="129" spans="1:17" s="322" customFormat="1" ht="20.100000000000001" customHeight="1" x14ac:dyDescent="0.2">
      <c r="A129" s="321"/>
      <c r="B129" s="323"/>
      <c r="C129" s="323"/>
      <c r="D129" s="323"/>
      <c r="E129" s="323"/>
      <c r="F129" s="323"/>
      <c r="G129" s="323"/>
      <c r="H129" s="323"/>
      <c r="I129" s="323"/>
      <c r="J129" s="323"/>
      <c r="K129" s="323"/>
      <c r="L129" s="323"/>
      <c r="M129" s="651"/>
      <c r="N129" s="323"/>
      <c r="O129" s="323"/>
      <c r="P129" s="323"/>
      <c r="Q129" s="323"/>
    </row>
    <row r="130" spans="1:17" s="322" customFormat="1" ht="20.100000000000001" customHeight="1" x14ac:dyDescent="0.2">
      <c r="A130" s="321"/>
      <c r="B130" s="323"/>
      <c r="C130" s="323"/>
      <c r="D130" s="323"/>
      <c r="E130" s="323"/>
      <c r="F130" s="323"/>
      <c r="G130" s="323"/>
      <c r="H130" s="323"/>
      <c r="I130" s="323"/>
      <c r="J130" s="323"/>
      <c r="K130" s="323"/>
      <c r="L130" s="323"/>
      <c r="M130" s="651"/>
      <c r="N130" s="323"/>
      <c r="O130" s="323"/>
      <c r="P130" s="323"/>
      <c r="Q130" s="323"/>
    </row>
    <row r="131" spans="1:17" s="322" customFormat="1" ht="20.100000000000001" customHeight="1" x14ac:dyDescent="0.2">
      <c r="A131" s="321"/>
      <c r="B131" s="323"/>
      <c r="C131" s="323"/>
      <c r="D131" s="323"/>
      <c r="E131" s="323"/>
      <c r="F131" s="323"/>
      <c r="G131" s="323"/>
      <c r="H131" s="323"/>
      <c r="I131" s="323"/>
      <c r="J131" s="323"/>
      <c r="K131" s="323"/>
      <c r="L131" s="323"/>
      <c r="M131" s="651"/>
      <c r="N131" s="323"/>
      <c r="O131" s="323"/>
      <c r="P131" s="323"/>
      <c r="Q131" s="323"/>
    </row>
    <row r="132" spans="1:17" s="322" customFormat="1" ht="20.100000000000001" customHeight="1" x14ac:dyDescent="0.2">
      <c r="A132" s="321"/>
      <c r="B132" s="323"/>
      <c r="C132" s="323"/>
      <c r="D132" s="323"/>
      <c r="E132" s="323"/>
      <c r="F132" s="323"/>
      <c r="G132" s="323"/>
      <c r="H132" s="323"/>
      <c r="I132" s="323"/>
      <c r="J132" s="323"/>
      <c r="K132" s="323"/>
      <c r="L132" s="323"/>
      <c r="M132" s="651"/>
      <c r="N132" s="323"/>
      <c r="O132" s="323"/>
      <c r="P132" s="323"/>
      <c r="Q132" s="323"/>
    </row>
    <row r="133" spans="1:17" s="322" customFormat="1" ht="20.100000000000001" customHeight="1" x14ac:dyDescent="0.2">
      <c r="A133" s="321"/>
      <c r="B133" s="323"/>
      <c r="C133" s="323"/>
      <c r="D133" s="323"/>
      <c r="E133" s="323"/>
      <c r="F133" s="323"/>
      <c r="G133" s="323"/>
      <c r="H133" s="323"/>
      <c r="I133" s="323"/>
      <c r="J133" s="323"/>
      <c r="K133" s="323"/>
      <c r="L133" s="323"/>
      <c r="M133" s="651"/>
      <c r="N133" s="323"/>
      <c r="O133" s="323"/>
      <c r="P133" s="323"/>
      <c r="Q133" s="323"/>
    </row>
    <row r="134" spans="1:17" s="322" customFormat="1" ht="20.100000000000001" customHeight="1" x14ac:dyDescent="0.2">
      <c r="A134" s="321"/>
      <c r="B134" s="323"/>
      <c r="C134" s="323"/>
      <c r="D134" s="323"/>
      <c r="E134" s="323"/>
      <c r="F134" s="323"/>
      <c r="G134" s="323"/>
      <c r="H134" s="323"/>
      <c r="I134" s="323"/>
      <c r="J134" s="323"/>
      <c r="K134" s="323"/>
      <c r="L134" s="323"/>
      <c r="M134" s="651"/>
      <c r="N134" s="323"/>
      <c r="O134" s="323"/>
      <c r="P134" s="323"/>
      <c r="Q134" s="323"/>
    </row>
    <row r="135" spans="1:17" s="322" customFormat="1" ht="20.100000000000001" customHeight="1" x14ac:dyDescent="0.2">
      <c r="A135" s="321"/>
      <c r="B135" s="323"/>
      <c r="C135" s="323"/>
      <c r="D135" s="323"/>
      <c r="E135" s="323"/>
      <c r="F135" s="323"/>
      <c r="G135" s="323"/>
      <c r="H135" s="323"/>
      <c r="I135" s="323"/>
      <c r="J135" s="323"/>
      <c r="K135" s="323"/>
      <c r="L135" s="323"/>
      <c r="M135" s="651"/>
      <c r="N135" s="323"/>
      <c r="O135" s="323"/>
      <c r="P135" s="323"/>
      <c r="Q135" s="323"/>
    </row>
    <row r="136" spans="1:17" s="322" customFormat="1" ht="20.100000000000001" customHeight="1" x14ac:dyDescent="0.2">
      <c r="A136" s="321"/>
      <c r="B136" s="323"/>
      <c r="C136" s="323"/>
      <c r="D136" s="323"/>
      <c r="E136" s="323"/>
      <c r="F136" s="323"/>
      <c r="G136" s="323"/>
      <c r="H136" s="323"/>
      <c r="I136" s="323"/>
      <c r="J136" s="323"/>
      <c r="K136" s="323"/>
      <c r="L136" s="323"/>
      <c r="M136" s="651"/>
      <c r="N136" s="323"/>
      <c r="O136" s="323"/>
      <c r="P136" s="323"/>
      <c r="Q136" s="323"/>
    </row>
    <row r="137" spans="1:17" s="322" customFormat="1" ht="20.100000000000001" customHeight="1" x14ac:dyDescent="0.2">
      <c r="A137" s="321"/>
      <c r="B137" s="323"/>
      <c r="C137" s="323"/>
      <c r="D137" s="323"/>
      <c r="E137" s="323"/>
      <c r="F137" s="323"/>
      <c r="G137" s="323"/>
      <c r="H137" s="323"/>
      <c r="I137" s="323"/>
      <c r="J137" s="323"/>
      <c r="K137" s="323"/>
      <c r="L137" s="323"/>
      <c r="M137" s="651"/>
      <c r="N137" s="323"/>
      <c r="O137" s="323"/>
      <c r="P137" s="323"/>
      <c r="Q137" s="323"/>
    </row>
    <row r="138" spans="1:17" s="322" customFormat="1" ht="20.100000000000001" customHeight="1" x14ac:dyDescent="0.2">
      <c r="A138" s="321"/>
      <c r="B138" s="323"/>
      <c r="C138" s="323"/>
      <c r="D138" s="323"/>
      <c r="E138" s="323"/>
      <c r="F138" s="323"/>
      <c r="G138" s="323"/>
      <c r="H138" s="323"/>
      <c r="I138" s="323"/>
      <c r="J138" s="323"/>
      <c r="K138" s="323"/>
      <c r="L138" s="323"/>
      <c r="M138" s="651"/>
      <c r="N138" s="323"/>
      <c r="O138" s="323"/>
      <c r="P138" s="323"/>
      <c r="Q138" s="323"/>
    </row>
    <row r="139" spans="1:17" s="322" customFormat="1" ht="20.100000000000001" customHeight="1" x14ac:dyDescent="0.2">
      <c r="A139" s="321"/>
      <c r="B139" s="323"/>
      <c r="C139" s="323"/>
      <c r="D139" s="323"/>
      <c r="E139" s="323"/>
      <c r="F139" s="323"/>
      <c r="G139" s="323"/>
      <c r="H139" s="323"/>
      <c r="I139" s="323"/>
      <c r="J139" s="323"/>
      <c r="K139" s="323"/>
      <c r="L139" s="323"/>
      <c r="M139" s="651"/>
      <c r="N139" s="323"/>
      <c r="O139" s="323"/>
      <c r="P139" s="323"/>
      <c r="Q139" s="323"/>
    </row>
    <row r="140" spans="1:17" s="322" customFormat="1" ht="20.100000000000001" customHeight="1" x14ac:dyDescent="0.2">
      <c r="A140" s="321"/>
      <c r="B140" s="323"/>
      <c r="C140" s="323"/>
      <c r="D140" s="323"/>
      <c r="E140" s="323"/>
      <c r="F140" s="323"/>
      <c r="G140" s="323"/>
      <c r="H140" s="323"/>
      <c r="I140" s="323"/>
      <c r="J140" s="323"/>
      <c r="K140" s="323"/>
      <c r="L140" s="323"/>
      <c r="M140" s="651"/>
      <c r="N140" s="323"/>
      <c r="O140" s="323"/>
      <c r="P140" s="323"/>
      <c r="Q140" s="323"/>
    </row>
    <row r="141" spans="1:17" s="322" customFormat="1" ht="20.100000000000001" customHeight="1" x14ac:dyDescent="0.2">
      <c r="A141" s="321"/>
      <c r="B141" s="323"/>
      <c r="C141" s="323"/>
      <c r="D141" s="323"/>
      <c r="E141" s="323"/>
      <c r="F141" s="323"/>
      <c r="G141" s="323"/>
      <c r="H141" s="323"/>
      <c r="I141" s="323"/>
      <c r="J141" s="323"/>
      <c r="K141" s="323"/>
      <c r="L141" s="323"/>
      <c r="M141" s="651"/>
      <c r="N141" s="323"/>
      <c r="O141" s="323"/>
      <c r="P141" s="323"/>
      <c r="Q141" s="323"/>
    </row>
    <row r="142" spans="1:17" s="322" customFormat="1" ht="20.100000000000001" customHeight="1" x14ac:dyDescent="0.2">
      <c r="A142" s="321"/>
      <c r="B142" s="323"/>
      <c r="C142" s="323"/>
      <c r="D142" s="323"/>
      <c r="E142" s="323"/>
      <c r="F142" s="323"/>
      <c r="G142" s="323"/>
      <c r="H142" s="323"/>
      <c r="I142" s="323"/>
      <c r="J142" s="323"/>
      <c r="K142" s="323"/>
      <c r="L142" s="323"/>
      <c r="M142" s="651"/>
      <c r="N142" s="323"/>
      <c r="O142" s="323"/>
      <c r="P142" s="323"/>
      <c r="Q142" s="323"/>
    </row>
    <row r="143" spans="1:17" s="322" customFormat="1" ht="20.100000000000001" customHeight="1" x14ac:dyDescent="0.2">
      <c r="A143" s="321"/>
      <c r="B143" s="323"/>
      <c r="C143" s="323"/>
      <c r="D143" s="323"/>
      <c r="E143" s="323"/>
      <c r="F143" s="323"/>
      <c r="G143" s="323"/>
      <c r="H143" s="323"/>
      <c r="I143" s="323"/>
      <c r="J143" s="323"/>
      <c r="K143" s="323"/>
      <c r="L143" s="323"/>
      <c r="M143" s="651"/>
      <c r="N143" s="323"/>
      <c r="O143" s="323"/>
      <c r="P143" s="323"/>
      <c r="Q143" s="323"/>
    </row>
    <row r="144" spans="1:17" ht="20.100000000000001" customHeight="1" x14ac:dyDescent="0.4"/>
    <row r="145" spans="1:17" ht="9.9499999999999993" customHeight="1" x14ac:dyDescent="0.4"/>
    <row r="146" spans="1:17" ht="20.100000000000001" customHeight="1" x14ac:dyDescent="0.4"/>
    <row r="147" spans="1:17" ht="20.100000000000001" customHeight="1" x14ac:dyDescent="0.4"/>
    <row r="148" spans="1:17" ht="20.100000000000001" customHeight="1" x14ac:dyDescent="0.4"/>
    <row r="149" spans="1:17" s="322" customFormat="1" ht="20.100000000000001" customHeight="1" x14ac:dyDescent="0.2">
      <c r="A149" s="321"/>
      <c r="B149" s="323"/>
      <c r="C149" s="323"/>
      <c r="D149" s="323"/>
      <c r="E149" s="323"/>
      <c r="F149" s="323"/>
      <c r="G149" s="323"/>
      <c r="H149" s="323"/>
      <c r="I149" s="323"/>
      <c r="J149" s="323"/>
      <c r="K149" s="323"/>
      <c r="L149" s="323"/>
      <c r="M149" s="651"/>
      <c r="N149" s="323"/>
      <c r="O149" s="323"/>
      <c r="P149" s="323"/>
      <c r="Q149" s="323"/>
    </row>
    <row r="150" spans="1:17" s="322" customFormat="1" ht="20.100000000000001" customHeight="1" x14ac:dyDescent="0.2">
      <c r="A150" s="321"/>
      <c r="B150" s="323"/>
      <c r="C150" s="323"/>
      <c r="D150" s="323"/>
      <c r="E150" s="323"/>
      <c r="F150" s="323"/>
      <c r="G150" s="323"/>
      <c r="H150" s="323"/>
      <c r="I150" s="323"/>
      <c r="J150" s="323"/>
      <c r="K150" s="323"/>
      <c r="L150" s="323"/>
      <c r="M150" s="651"/>
      <c r="N150" s="323"/>
      <c r="O150" s="323"/>
      <c r="P150" s="323"/>
      <c r="Q150" s="323"/>
    </row>
    <row r="151" spans="1:17" s="322" customFormat="1" ht="20.100000000000001" customHeight="1" x14ac:dyDescent="0.2">
      <c r="A151" s="321"/>
      <c r="B151" s="323"/>
      <c r="C151" s="323"/>
      <c r="D151" s="323"/>
      <c r="E151" s="323"/>
      <c r="F151" s="323"/>
      <c r="G151" s="323"/>
      <c r="H151" s="323"/>
      <c r="I151" s="323"/>
      <c r="J151" s="323"/>
      <c r="K151" s="323"/>
      <c r="L151" s="323"/>
      <c r="M151" s="651"/>
      <c r="N151" s="323"/>
      <c r="O151" s="323"/>
      <c r="P151" s="323"/>
      <c r="Q151" s="323"/>
    </row>
    <row r="152" spans="1:17" s="322" customFormat="1" ht="20.100000000000001" customHeight="1" x14ac:dyDescent="0.2">
      <c r="A152" s="321"/>
      <c r="B152" s="323"/>
      <c r="C152" s="323"/>
      <c r="D152" s="323"/>
      <c r="E152" s="323"/>
      <c r="F152" s="323"/>
      <c r="G152" s="323"/>
      <c r="H152" s="323"/>
      <c r="I152" s="323"/>
      <c r="J152" s="323"/>
      <c r="K152" s="323"/>
      <c r="L152" s="323"/>
      <c r="M152" s="651"/>
      <c r="N152" s="323"/>
      <c r="O152" s="323"/>
      <c r="P152" s="323"/>
      <c r="Q152" s="323"/>
    </row>
    <row r="153" spans="1:17" s="322" customFormat="1" ht="20.100000000000001" customHeight="1" x14ac:dyDescent="0.2">
      <c r="A153" s="321"/>
      <c r="B153" s="323"/>
      <c r="C153" s="323"/>
      <c r="D153" s="323"/>
      <c r="E153" s="323"/>
      <c r="F153" s="323"/>
      <c r="G153" s="323"/>
      <c r="H153" s="323"/>
      <c r="I153" s="323"/>
      <c r="J153" s="323"/>
      <c r="K153" s="323"/>
      <c r="L153" s="323"/>
      <c r="M153" s="651"/>
      <c r="N153" s="323"/>
      <c r="O153" s="323"/>
      <c r="P153" s="323"/>
      <c r="Q153" s="323"/>
    </row>
    <row r="154" spans="1:17" s="322" customFormat="1" ht="20.100000000000001" customHeight="1" x14ac:dyDescent="0.2">
      <c r="A154" s="321"/>
      <c r="B154" s="323"/>
      <c r="C154" s="323"/>
      <c r="D154" s="323"/>
      <c r="E154" s="323"/>
      <c r="F154" s="323"/>
      <c r="G154" s="323"/>
      <c r="H154" s="323"/>
      <c r="I154" s="323"/>
      <c r="J154" s="323"/>
      <c r="K154" s="323"/>
      <c r="L154" s="323"/>
      <c r="M154" s="651"/>
      <c r="N154" s="323"/>
      <c r="O154" s="323"/>
      <c r="P154" s="323"/>
      <c r="Q154" s="323"/>
    </row>
    <row r="155" spans="1:17" s="322" customFormat="1" ht="20.100000000000001" customHeight="1" x14ac:dyDescent="0.2">
      <c r="A155" s="321"/>
      <c r="B155" s="323"/>
      <c r="C155" s="323"/>
      <c r="D155" s="323"/>
      <c r="E155" s="323"/>
      <c r="F155" s="323"/>
      <c r="G155" s="323"/>
      <c r="H155" s="323"/>
      <c r="I155" s="323"/>
      <c r="J155" s="323"/>
      <c r="K155" s="323"/>
      <c r="L155" s="323"/>
      <c r="M155" s="651"/>
      <c r="N155" s="323"/>
      <c r="O155" s="323"/>
      <c r="P155" s="323"/>
      <c r="Q155" s="323"/>
    </row>
    <row r="156" spans="1:17" s="322" customFormat="1" ht="20.100000000000001" customHeight="1" x14ac:dyDescent="0.2">
      <c r="A156" s="321"/>
      <c r="B156" s="323"/>
      <c r="C156" s="323"/>
      <c r="D156" s="323"/>
      <c r="E156" s="323"/>
      <c r="F156" s="323"/>
      <c r="G156" s="323"/>
      <c r="H156" s="323"/>
      <c r="I156" s="323"/>
      <c r="J156" s="323"/>
      <c r="K156" s="323"/>
      <c r="L156" s="323"/>
      <c r="M156" s="651"/>
      <c r="N156" s="323"/>
      <c r="O156" s="323"/>
      <c r="P156" s="323"/>
      <c r="Q156" s="323"/>
    </row>
    <row r="157" spans="1:17" s="322" customFormat="1" ht="20.100000000000001" customHeight="1" x14ac:dyDescent="0.2">
      <c r="A157" s="321"/>
      <c r="B157" s="323"/>
      <c r="C157" s="323"/>
      <c r="D157" s="323"/>
      <c r="E157" s="323"/>
      <c r="F157" s="323"/>
      <c r="G157" s="323"/>
      <c r="H157" s="323"/>
      <c r="I157" s="323"/>
      <c r="J157" s="323"/>
      <c r="K157" s="323"/>
      <c r="L157" s="323"/>
      <c r="M157" s="651"/>
      <c r="N157" s="323"/>
      <c r="O157" s="323"/>
      <c r="P157" s="323"/>
      <c r="Q157" s="323"/>
    </row>
    <row r="158" spans="1:17" s="322" customFormat="1" ht="20.100000000000001" customHeight="1" x14ac:dyDescent="0.2">
      <c r="A158" s="321"/>
      <c r="B158" s="323"/>
      <c r="C158" s="323"/>
      <c r="D158" s="323"/>
      <c r="E158" s="323"/>
      <c r="F158" s="323"/>
      <c r="G158" s="323"/>
      <c r="H158" s="323"/>
      <c r="I158" s="323"/>
      <c r="J158" s="323"/>
      <c r="K158" s="323"/>
      <c r="L158" s="323"/>
      <c r="M158" s="651"/>
      <c r="N158" s="323"/>
      <c r="O158" s="323"/>
      <c r="P158" s="323"/>
      <c r="Q158" s="323"/>
    </row>
    <row r="159" spans="1:17" s="322" customFormat="1" ht="20.100000000000001" customHeight="1" x14ac:dyDescent="0.2">
      <c r="A159" s="321"/>
      <c r="B159" s="323"/>
      <c r="C159" s="323"/>
      <c r="D159" s="323"/>
      <c r="E159" s="323"/>
      <c r="F159" s="323"/>
      <c r="G159" s="323"/>
      <c r="H159" s="323"/>
      <c r="I159" s="323"/>
      <c r="J159" s="323"/>
      <c r="K159" s="323"/>
      <c r="L159" s="323"/>
      <c r="M159" s="651"/>
      <c r="N159" s="323"/>
      <c r="O159" s="323"/>
      <c r="P159" s="323"/>
      <c r="Q159" s="323"/>
    </row>
    <row r="160" spans="1:17" s="322" customFormat="1" ht="20.100000000000001" customHeight="1" x14ac:dyDescent="0.2">
      <c r="A160" s="321"/>
      <c r="B160" s="323"/>
      <c r="C160" s="323"/>
      <c r="D160" s="323"/>
      <c r="E160" s="323"/>
      <c r="F160" s="323"/>
      <c r="G160" s="323"/>
      <c r="H160" s="323"/>
      <c r="I160" s="323"/>
      <c r="J160" s="323"/>
      <c r="K160" s="323"/>
      <c r="L160" s="323"/>
      <c r="M160" s="651"/>
      <c r="N160" s="323"/>
      <c r="O160" s="323"/>
      <c r="P160" s="323"/>
      <c r="Q160" s="323"/>
    </row>
    <row r="161" spans="1:17" s="322" customFormat="1" ht="20.100000000000001" customHeight="1" x14ac:dyDescent="0.2">
      <c r="A161" s="321"/>
      <c r="B161" s="323"/>
      <c r="C161" s="323"/>
      <c r="D161" s="323"/>
      <c r="E161" s="323"/>
      <c r="F161" s="323"/>
      <c r="G161" s="323"/>
      <c r="H161" s="323"/>
      <c r="I161" s="323"/>
      <c r="J161" s="323"/>
      <c r="K161" s="323"/>
      <c r="L161" s="323"/>
      <c r="M161" s="651"/>
      <c r="N161" s="323"/>
      <c r="O161" s="323"/>
      <c r="P161" s="323"/>
      <c r="Q161" s="323"/>
    </row>
    <row r="162" spans="1:17" s="322" customFormat="1" ht="20.100000000000001" customHeight="1" x14ac:dyDescent="0.2">
      <c r="A162" s="321"/>
      <c r="B162" s="323"/>
      <c r="C162" s="323"/>
      <c r="D162" s="323"/>
      <c r="E162" s="323"/>
      <c r="F162" s="323"/>
      <c r="G162" s="323"/>
      <c r="H162" s="323"/>
      <c r="I162" s="323"/>
      <c r="J162" s="323"/>
      <c r="K162" s="323"/>
      <c r="L162" s="323"/>
      <c r="M162" s="651"/>
      <c r="N162" s="323"/>
      <c r="O162" s="323"/>
      <c r="P162" s="323"/>
      <c r="Q162" s="323"/>
    </row>
    <row r="163" spans="1:17" s="322" customFormat="1" ht="20.100000000000001" customHeight="1" x14ac:dyDescent="0.2">
      <c r="A163" s="321"/>
      <c r="B163" s="323"/>
      <c r="C163" s="323"/>
      <c r="D163" s="323"/>
      <c r="E163" s="323"/>
      <c r="F163" s="323"/>
      <c r="G163" s="323"/>
      <c r="H163" s="323"/>
      <c r="I163" s="323"/>
      <c r="J163" s="323"/>
      <c r="K163" s="323"/>
      <c r="L163" s="323"/>
      <c r="M163" s="651"/>
      <c r="N163" s="323"/>
      <c r="O163" s="323"/>
      <c r="P163" s="323"/>
      <c r="Q163" s="323"/>
    </row>
    <row r="164" spans="1:17" s="322" customFormat="1" ht="20.100000000000001" customHeight="1" x14ac:dyDescent="0.2">
      <c r="A164" s="321"/>
      <c r="B164" s="323"/>
      <c r="C164" s="323"/>
      <c r="D164" s="323"/>
      <c r="E164" s="323"/>
      <c r="F164" s="323"/>
      <c r="G164" s="323"/>
      <c r="H164" s="323"/>
      <c r="I164" s="323"/>
      <c r="J164" s="323"/>
      <c r="K164" s="323"/>
      <c r="L164" s="323"/>
      <c r="M164" s="651"/>
      <c r="N164" s="323"/>
      <c r="O164" s="323"/>
      <c r="P164" s="323"/>
      <c r="Q164" s="323"/>
    </row>
    <row r="165" spans="1:17" s="322" customFormat="1" ht="20.100000000000001" customHeight="1" x14ac:dyDescent="0.2">
      <c r="A165" s="321"/>
      <c r="B165" s="323"/>
      <c r="C165" s="323"/>
      <c r="D165" s="323"/>
      <c r="E165" s="323"/>
      <c r="F165" s="323"/>
      <c r="G165" s="323"/>
      <c r="H165" s="323"/>
      <c r="I165" s="323"/>
      <c r="J165" s="323"/>
      <c r="K165" s="323"/>
      <c r="L165" s="323"/>
      <c r="M165" s="651"/>
      <c r="N165" s="323"/>
      <c r="O165" s="323"/>
      <c r="P165" s="323"/>
      <c r="Q165" s="323"/>
    </row>
    <row r="166" spans="1:17" s="322" customFormat="1" ht="20.100000000000001" customHeight="1" x14ac:dyDescent="0.2">
      <c r="A166" s="321"/>
      <c r="B166" s="323"/>
      <c r="C166" s="323"/>
      <c r="D166" s="323"/>
      <c r="E166" s="323"/>
      <c r="F166" s="323"/>
      <c r="G166" s="323"/>
      <c r="H166" s="323"/>
      <c r="I166" s="323"/>
      <c r="J166" s="323"/>
      <c r="K166" s="323"/>
      <c r="L166" s="323"/>
      <c r="M166" s="651"/>
      <c r="N166" s="323"/>
      <c r="O166" s="323"/>
      <c r="P166" s="323"/>
      <c r="Q166" s="323"/>
    </row>
    <row r="167" spans="1:17" s="322" customFormat="1" ht="20.100000000000001" customHeight="1" x14ac:dyDescent="0.2">
      <c r="A167" s="321"/>
      <c r="B167" s="323"/>
      <c r="C167" s="323"/>
      <c r="D167" s="323"/>
      <c r="E167" s="323"/>
      <c r="F167" s="323"/>
      <c r="G167" s="323"/>
      <c r="H167" s="323"/>
      <c r="I167" s="323"/>
      <c r="J167" s="323"/>
      <c r="K167" s="323"/>
      <c r="L167" s="323"/>
      <c r="M167" s="651"/>
      <c r="N167" s="323"/>
      <c r="O167" s="323"/>
      <c r="P167" s="323"/>
      <c r="Q167" s="323"/>
    </row>
    <row r="168" spans="1:17" s="322" customFormat="1" ht="20.100000000000001" customHeight="1" x14ac:dyDescent="0.2">
      <c r="A168" s="321"/>
      <c r="B168" s="323"/>
      <c r="C168" s="323"/>
      <c r="D168" s="323"/>
      <c r="E168" s="323"/>
      <c r="F168" s="323"/>
      <c r="G168" s="323"/>
      <c r="H168" s="323"/>
      <c r="I168" s="323"/>
      <c r="J168" s="323"/>
      <c r="K168" s="323"/>
      <c r="L168" s="323"/>
      <c r="M168" s="651"/>
      <c r="N168" s="323"/>
      <c r="O168" s="323"/>
      <c r="P168" s="323"/>
      <c r="Q168" s="323"/>
    </row>
    <row r="169" spans="1:17" s="322" customFormat="1" ht="20.100000000000001" customHeight="1" x14ac:dyDescent="0.2">
      <c r="A169" s="321"/>
      <c r="B169" s="323"/>
      <c r="C169" s="323"/>
      <c r="D169" s="323"/>
      <c r="E169" s="323"/>
      <c r="F169" s="323"/>
      <c r="G169" s="323"/>
      <c r="H169" s="323"/>
      <c r="I169" s="323"/>
      <c r="J169" s="323"/>
      <c r="K169" s="323"/>
      <c r="L169" s="323"/>
      <c r="M169" s="651"/>
      <c r="N169" s="323"/>
      <c r="O169" s="323"/>
      <c r="P169" s="323"/>
      <c r="Q169" s="323"/>
    </row>
    <row r="170" spans="1:17" s="322" customFormat="1" ht="20.100000000000001" customHeight="1" x14ac:dyDescent="0.2">
      <c r="A170" s="321"/>
      <c r="B170" s="323"/>
      <c r="C170" s="323"/>
      <c r="D170" s="323"/>
      <c r="E170" s="323"/>
      <c r="F170" s="323"/>
      <c r="G170" s="323"/>
      <c r="H170" s="323"/>
      <c r="I170" s="323"/>
      <c r="J170" s="323"/>
      <c r="K170" s="323"/>
      <c r="L170" s="323"/>
      <c r="M170" s="651"/>
      <c r="N170" s="323"/>
      <c r="O170" s="323"/>
      <c r="P170" s="323"/>
      <c r="Q170" s="323"/>
    </row>
    <row r="171" spans="1:17" s="322" customFormat="1" ht="20.100000000000001" customHeight="1" x14ac:dyDescent="0.2">
      <c r="A171" s="321"/>
      <c r="B171" s="323"/>
      <c r="C171" s="323"/>
      <c r="D171" s="323"/>
      <c r="E171" s="323"/>
      <c r="F171" s="323"/>
      <c r="G171" s="323"/>
      <c r="H171" s="323"/>
      <c r="I171" s="323"/>
      <c r="J171" s="323"/>
      <c r="K171" s="323"/>
      <c r="L171" s="323"/>
      <c r="M171" s="651"/>
      <c r="N171" s="323"/>
      <c r="O171" s="323"/>
      <c r="P171" s="323"/>
      <c r="Q171" s="323"/>
    </row>
    <row r="172" spans="1:17" s="322" customFormat="1" ht="20.100000000000001" customHeight="1" x14ac:dyDescent="0.2">
      <c r="A172" s="321"/>
      <c r="B172" s="323"/>
      <c r="C172" s="323"/>
      <c r="D172" s="323"/>
      <c r="E172" s="323"/>
      <c r="F172" s="323"/>
      <c r="G172" s="323"/>
      <c r="H172" s="323"/>
      <c r="I172" s="323"/>
      <c r="J172" s="323"/>
      <c r="K172" s="323"/>
      <c r="L172" s="323"/>
      <c r="M172" s="651"/>
      <c r="N172" s="323"/>
      <c r="O172" s="323"/>
      <c r="P172" s="323"/>
      <c r="Q172" s="323"/>
    </row>
    <row r="173" spans="1:17" s="322" customFormat="1" ht="20.100000000000001" customHeight="1" x14ac:dyDescent="0.2">
      <c r="A173" s="321"/>
      <c r="B173" s="323"/>
      <c r="C173" s="323"/>
      <c r="D173" s="323"/>
      <c r="E173" s="323"/>
      <c r="F173" s="323"/>
      <c r="G173" s="323"/>
      <c r="H173" s="323"/>
      <c r="I173" s="323"/>
      <c r="J173" s="323"/>
      <c r="K173" s="323"/>
      <c r="L173" s="323"/>
      <c r="M173" s="651"/>
      <c r="N173" s="323"/>
      <c r="O173" s="323"/>
      <c r="P173" s="323"/>
      <c r="Q173" s="323"/>
    </row>
    <row r="174" spans="1:17" s="322" customFormat="1" ht="20.100000000000001" customHeight="1" x14ac:dyDescent="0.2">
      <c r="A174" s="321"/>
      <c r="B174" s="323"/>
      <c r="C174" s="323"/>
      <c r="D174" s="323"/>
      <c r="E174" s="323"/>
      <c r="F174" s="323"/>
      <c r="G174" s="323"/>
      <c r="H174" s="323"/>
      <c r="I174" s="323"/>
      <c r="J174" s="323"/>
      <c r="K174" s="323"/>
      <c r="L174" s="323"/>
      <c r="M174" s="651"/>
      <c r="N174" s="323"/>
      <c r="O174" s="323"/>
      <c r="P174" s="323"/>
      <c r="Q174" s="323"/>
    </row>
    <row r="175" spans="1:17" s="322" customFormat="1" ht="20.100000000000001" customHeight="1" x14ac:dyDescent="0.2">
      <c r="A175" s="321"/>
      <c r="B175" s="323"/>
      <c r="C175" s="323"/>
      <c r="D175" s="323"/>
      <c r="E175" s="323"/>
      <c r="F175" s="323"/>
      <c r="G175" s="323"/>
      <c r="H175" s="323"/>
      <c r="I175" s="323"/>
      <c r="J175" s="323"/>
      <c r="K175" s="323"/>
      <c r="L175" s="323"/>
      <c r="M175" s="651"/>
      <c r="N175" s="323"/>
      <c r="O175" s="323"/>
      <c r="P175" s="323"/>
      <c r="Q175" s="323"/>
    </row>
    <row r="176" spans="1:17" s="322" customFormat="1" ht="20.100000000000001" customHeight="1" x14ac:dyDescent="0.2">
      <c r="A176" s="321"/>
      <c r="B176" s="323"/>
      <c r="C176" s="323"/>
      <c r="D176" s="323"/>
      <c r="E176" s="323"/>
      <c r="F176" s="323"/>
      <c r="G176" s="323"/>
      <c r="H176" s="323"/>
      <c r="I176" s="323"/>
      <c r="J176" s="323"/>
      <c r="K176" s="323"/>
      <c r="L176" s="323"/>
      <c r="M176" s="651"/>
      <c r="N176" s="323"/>
      <c r="O176" s="323"/>
      <c r="P176" s="323"/>
      <c r="Q176" s="323"/>
    </row>
    <row r="177" spans="1:17" s="322" customFormat="1" ht="20.100000000000001" customHeight="1" x14ac:dyDescent="0.2">
      <c r="A177" s="321"/>
      <c r="B177" s="323"/>
      <c r="C177" s="323"/>
      <c r="D177" s="323"/>
      <c r="E177" s="323"/>
      <c r="F177" s="323"/>
      <c r="G177" s="323"/>
      <c r="H177" s="323"/>
      <c r="I177" s="323"/>
      <c r="J177" s="323"/>
      <c r="K177" s="323"/>
      <c r="L177" s="323"/>
      <c r="M177" s="651"/>
      <c r="N177" s="323"/>
      <c r="O177" s="323"/>
      <c r="P177" s="323"/>
      <c r="Q177" s="323"/>
    </row>
    <row r="178" spans="1:17" s="322" customFormat="1" ht="20.100000000000001" customHeight="1" x14ac:dyDescent="0.2">
      <c r="A178" s="321"/>
      <c r="B178" s="323"/>
      <c r="C178" s="323"/>
      <c r="D178" s="323"/>
      <c r="E178" s="323"/>
      <c r="F178" s="323"/>
      <c r="G178" s="323"/>
      <c r="H178" s="323"/>
      <c r="I178" s="323"/>
      <c r="J178" s="323"/>
      <c r="K178" s="323"/>
      <c r="L178" s="323"/>
      <c r="M178" s="651"/>
      <c r="N178" s="323"/>
      <c r="O178" s="323"/>
      <c r="P178" s="323"/>
      <c r="Q178" s="323"/>
    </row>
    <row r="179" spans="1:17" s="322" customFormat="1" ht="20.100000000000001" customHeight="1" x14ac:dyDescent="0.2">
      <c r="A179" s="321"/>
      <c r="B179" s="323"/>
      <c r="C179" s="323"/>
      <c r="D179" s="323"/>
      <c r="E179" s="323"/>
      <c r="F179" s="323"/>
      <c r="G179" s="323"/>
      <c r="H179" s="323"/>
      <c r="I179" s="323"/>
      <c r="J179" s="323"/>
      <c r="K179" s="323"/>
      <c r="L179" s="323"/>
      <c r="M179" s="651"/>
      <c r="N179" s="323"/>
      <c r="O179" s="323"/>
      <c r="P179" s="323"/>
      <c r="Q179" s="323"/>
    </row>
    <row r="180" spans="1:17" s="322" customFormat="1" ht="20.100000000000001" customHeight="1" x14ac:dyDescent="0.2">
      <c r="A180" s="321"/>
      <c r="B180" s="323"/>
      <c r="C180" s="323"/>
      <c r="D180" s="323"/>
      <c r="E180" s="323"/>
      <c r="F180" s="323"/>
      <c r="G180" s="323"/>
      <c r="H180" s="323"/>
      <c r="I180" s="323"/>
      <c r="J180" s="323"/>
      <c r="K180" s="323"/>
      <c r="L180" s="323"/>
      <c r="M180" s="651"/>
      <c r="N180" s="323"/>
      <c r="O180" s="323"/>
      <c r="P180" s="323"/>
      <c r="Q180" s="323"/>
    </row>
    <row r="181" spans="1:17" s="322" customFormat="1" ht="20.100000000000001" customHeight="1" x14ac:dyDescent="0.2">
      <c r="A181" s="321"/>
      <c r="B181" s="323"/>
      <c r="C181" s="323"/>
      <c r="D181" s="323"/>
      <c r="E181" s="323"/>
      <c r="F181" s="323"/>
      <c r="G181" s="323"/>
      <c r="H181" s="323"/>
      <c r="I181" s="323"/>
      <c r="J181" s="323"/>
      <c r="K181" s="323"/>
      <c r="L181" s="323"/>
      <c r="M181" s="651"/>
      <c r="N181" s="323"/>
      <c r="O181" s="323"/>
      <c r="P181" s="323"/>
      <c r="Q181" s="323"/>
    </row>
    <row r="182" spans="1:17" s="322" customFormat="1" ht="20.100000000000001" customHeight="1" x14ac:dyDescent="0.2">
      <c r="A182" s="321"/>
      <c r="B182" s="323"/>
      <c r="C182" s="323"/>
      <c r="D182" s="323"/>
      <c r="E182" s="323"/>
      <c r="F182" s="323"/>
      <c r="G182" s="323"/>
      <c r="H182" s="323"/>
      <c r="I182" s="323"/>
      <c r="J182" s="323"/>
      <c r="K182" s="323"/>
      <c r="L182" s="323"/>
      <c r="M182" s="651"/>
      <c r="N182" s="323"/>
      <c r="O182" s="323"/>
      <c r="P182" s="323"/>
      <c r="Q182" s="323"/>
    </row>
    <row r="183" spans="1:17" s="322" customFormat="1" ht="20.100000000000001" customHeight="1" x14ac:dyDescent="0.2">
      <c r="A183" s="321"/>
      <c r="B183" s="323"/>
      <c r="C183" s="323"/>
      <c r="D183" s="323"/>
      <c r="E183" s="323"/>
      <c r="F183" s="323"/>
      <c r="G183" s="323"/>
      <c r="H183" s="323"/>
      <c r="I183" s="323"/>
      <c r="J183" s="323"/>
      <c r="K183" s="323"/>
      <c r="L183" s="323"/>
      <c r="M183" s="651"/>
      <c r="N183" s="323"/>
      <c r="O183" s="323"/>
      <c r="P183" s="323"/>
      <c r="Q183" s="323"/>
    </row>
    <row r="184" spans="1:17" s="322" customFormat="1" ht="20.100000000000001" customHeight="1" x14ac:dyDescent="0.2">
      <c r="A184" s="321"/>
      <c r="B184" s="323"/>
      <c r="C184" s="323"/>
      <c r="D184" s="323"/>
      <c r="E184" s="323"/>
      <c r="F184" s="323"/>
      <c r="G184" s="323"/>
      <c r="H184" s="323"/>
      <c r="I184" s="323"/>
      <c r="J184" s="323"/>
      <c r="K184" s="323"/>
      <c r="L184" s="323"/>
      <c r="M184" s="651"/>
      <c r="N184" s="323"/>
      <c r="O184" s="323"/>
      <c r="P184" s="323"/>
      <c r="Q184" s="323"/>
    </row>
    <row r="185" spans="1:17" s="322" customFormat="1" ht="20.100000000000001" customHeight="1" x14ac:dyDescent="0.2">
      <c r="A185" s="321"/>
      <c r="B185" s="323"/>
      <c r="C185" s="323"/>
      <c r="D185" s="323"/>
      <c r="E185" s="323"/>
      <c r="F185" s="323"/>
      <c r="G185" s="323"/>
      <c r="H185" s="323"/>
      <c r="I185" s="323"/>
      <c r="J185" s="323"/>
      <c r="K185" s="323"/>
      <c r="L185" s="323"/>
      <c r="M185" s="651"/>
      <c r="N185" s="323"/>
      <c r="O185" s="323"/>
      <c r="P185" s="323"/>
      <c r="Q185" s="323"/>
    </row>
    <row r="186" spans="1:17" ht="20.100000000000001" customHeight="1" x14ac:dyDescent="0.4"/>
    <row r="187" spans="1:17" ht="9.9499999999999993" customHeight="1" x14ac:dyDescent="0.4"/>
    <row r="188" spans="1:17" ht="20.100000000000001" customHeight="1" x14ac:dyDescent="0.4"/>
    <row r="189" spans="1:17" ht="20.100000000000001" customHeight="1" x14ac:dyDescent="0.4"/>
    <row r="190" spans="1:17" ht="20.100000000000001" customHeight="1" x14ac:dyDescent="0.4"/>
    <row r="191" spans="1:17" s="322" customFormat="1" ht="20.100000000000001" customHeight="1" x14ac:dyDescent="0.2">
      <c r="A191" s="321"/>
      <c r="B191" s="323"/>
      <c r="C191" s="323"/>
      <c r="D191" s="323"/>
      <c r="E191" s="323"/>
      <c r="F191" s="323"/>
      <c r="G191" s="323"/>
      <c r="H191" s="323"/>
      <c r="I191" s="323"/>
      <c r="J191" s="323"/>
      <c r="K191" s="323"/>
      <c r="L191" s="323"/>
      <c r="M191" s="651"/>
      <c r="N191" s="323"/>
      <c r="O191" s="323"/>
      <c r="P191" s="323"/>
      <c r="Q191" s="323"/>
    </row>
    <row r="192" spans="1:17" s="322" customFormat="1" ht="20.100000000000001" customHeight="1" x14ac:dyDescent="0.2">
      <c r="A192" s="321"/>
      <c r="B192" s="323"/>
      <c r="C192" s="323"/>
      <c r="D192" s="323"/>
      <c r="E192" s="323"/>
      <c r="F192" s="323"/>
      <c r="G192" s="323"/>
      <c r="H192" s="323"/>
      <c r="I192" s="323"/>
      <c r="J192" s="323"/>
      <c r="K192" s="323"/>
      <c r="L192" s="323"/>
      <c r="M192" s="651"/>
      <c r="N192" s="323"/>
      <c r="O192" s="323"/>
      <c r="P192" s="323"/>
      <c r="Q192" s="323"/>
    </row>
    <row r="193" spans="1:17" s="322" customFormat="1" ht="20.100000000000001" customHeight="1" x14ac:dyDescent="0.2">
      <c r="A193" s="321"/>
      <c r="B193" s="323"/>
      <c r="C193" s="323"/>
      <c r="D193" s="323"/>
      <c r="E193" s="323"/>
      <c r="F193" s="323"/>
      <c r="G193" s="323"/>
      <c r="H193" s="323"/>
      <c r="I193" s="323"/>
      <c r="J193" s="323"/>
      <c r="K193" s="323"/>
      <c r="L193" s="323"/>
      <c r="M193" s="651"/>
      <c r="N193" s="323"/>
      <c r="O193" s="323"/>
      <c r="P193" s="323"/>
      <c r="Q193" s="323"/>
    </row>
    <row r="194" spans="1:17" s="322" customFormat="1" ht="20.100000000000001" customHeight="1" x14ac:dyDescent="0.2">
      <c r="A194" s="321"/>
      <c r="B194" s="323"/>
      <c r="C194" s="323"/>
      <c r="D194" s="323"/>
      <c r="E194" s="323"/>
      <c r="F194" s="323"/>
      <c r="G194" s="323"/>
      <c r="H194" s="323"/>
      <c r="I194" s="323"/>
      <c r="J194" s="323"/>
      <c r="K194" s="323"/>
      <c r="L194" s="323"/>
      <c r="M194" s="651"/>
      <c r="N194" s="323"/>
      <c r="O194" s="323"/>
      <c r="P194" s="323"/>
      <c r="Q194" s="323"/>
    </row>
    <row r="195" spans="1:17" s="322" customFormat="1" ht="20.100000000000001" customHeight="1" x14ac:dyDescent="0.2">
      <c r="A195" s="321"/>
      <c r="B195" s="323"/>
      <c r="C195" s="323"/>
      <c r="D195" s="323"/>
      <c r="E195" s="323"/>
      <c r="F195" s="323"/>
      <c r="G195" s="323"/>
      <c r="H195" s="323"/>
      <c r="I195" s="323"/>
      <c r="J195" s="323"/>
      <c r="K195" s="323"/>
      <c r="L195" s="323"/>
      <c r="M195" s="651"/>
      <c r="N195" s="323"/>
      <c r="O195" s="323"/>
      <c r="P195" s="323"/>
      <c r="Q195" s="323"/>
    </row>
    <row r="196" spans="1:17" s="322" customFormat="1" ht="20.100000000000001" customHeight="1" x14ac:dyDescent="0.2">
      <c r="A196" s="321"/>
      <c r="B196" s="323"/>
      <c r="C196" s="323"/>
      <c r="D196" s="323"/>
      <c r="E196" s="323"/>
      <c r="F196" s="323"/>
      <c r="G196" s="323"/>
      <c r="H196" s="323"/>
      <c r="I196" s="323"/>
      <c r="J196" s="323"/>
      <c r="K196" s="323"/>
      <c r="L196" s="323"/>
      <c r="M196" s="651"/>
      <c r="N196" s="323"/>
      <c r="O196" s="323"/>
      <c r="P196" s="323"/>
      <c r="Q196" s="323"/>
    </row>
    <row r="197" spans="1:17" s="322" customFormat="1" ht="20.100000000000001" customHeight="1" x14ac:dyDescent="0.2">
      <c r="A197" s="321"/>
      <c r="B197" s="323"/>
      <c r="C197" s="323"/>
      <c r="D197" s="323"/>
      <c r="E197" s="323"/>
      <c r="F197" s="323"/>
      <c r="G197" s="323"/>
      <c r="H197" s="323"/>
      <c r="I197" s="323"/>
      <c r="J197" s="323"/>
      <c r="K197" s="323"/>
      <c r="L197" s="323"/>
      <c r="M197" s="651"/>
      <c r="N197" s="323"/>
      <c r="O197" s="323"/>
      <c r="P197" s="323"/>
      <c r="Q197" s="323"/>
    </row>
    <row r="198" spans="1:17" s="322" customFormat="1" ht="20.100000000000001" customHeight="1" x14ac:dyDescent="0.2">
      <c r="A198" s="321"/>
      <c r="B198" s="323"/>
      <c r="C198" s="323"/>
      <c r="D198" s="323"/>
      <c r="E198" s="323"/>
      <c r="F198" s="323"/>
      <c r="G198" s="323"/>
      <c r="H198" s="323"/>
      <c r="I198" s="323"/>
      <c r="J198" s="323"/>
      <c r="K198" s="323"/>
      <c r="L198" s="323"/>
      <c r="M198" s="651"/>
      <c r="N198" s="323"/>
      <c r="O198" s="323"/>
      <c r="P198" s="323"/>
      <c r="Q198" s="323"/>
    </row>
    <row r="199" spans="1:17" s="322" customFormat="1" ht="20.100000000000001" customHeight="1" x14ac:dyDescent="0.2">
      <c r="A199" s="321"/>
      <c r="B199" s="323"/>
      <c r="C199" s="323"/>
      <c r="D199" s="323"/>
      <c r="E199" s="323"/>
      <c r="F199" s="323"/>
      <c r="G199" s="323"/>
      <c r="H199" s="323"/>
      <c r="I199" s="323"/>
      <c r="J199" s="323"/>
      <c r="K199" s="323"/>
      <c r="L199" s="323"/>
      <c r="M199" s="651"/>
      <c r="N199" s="323"/>
      <c r="O199" s="323"/>
      <c r="P199" s="323"/>
      <c r="Q199" s="323"/>
    </row>
    <row r="200" spans="1:17" s="322" customFormat="1" ht="20.100000000000001" customHeight="1" x14ac:dyDescent="0.2">
      <c r="A200" s="321"/>
      <c r="B200" s="323"/>
      <c r="C200" s="323"/>
      <c r="D200" s="323"/>
      <c r="E200" s="323"/>
      <c r="F200" s="323"/>
      <c r="G200" s="323"/>
      <c r="H200" s="323"/>
      <c r="I200" s="323"/>
      <c r="J200" s="323"/>
      <c r="K200" s="323"/>
      <c r="L200" s="323"/>
      <c r="M200" s="651"/>
      <c r="N200" s="323"/>
      <c r="O200" s="323"/>
      <c r="P200" s="323"/>
      <c r="Q200" s="323"/>
    </row>
    <row r="201" spans="1:17" s="322" customFormat="1" ht="20.100000000000001" customHeight="1" x14ac:dyDescent="0.2">
      <c r="A201" s="321"/>
      <c r="B201" s="323"/>
      <c r="C201" s="323"/>
      <c r="D201" s="323"/>
      <c r="E201" s="323"/>
      <c r="F201" s="323"/>
      <c r="G201" s="323"/>
      <c r="H201" s="323"/>
      <c r="I201" s="323"/>
      <c r="J201" s="323"/>
      <c r="K201" s="323"/>
      <c r="L201" s="323"/>
      <c r="M201" s="651"/>
      <c r="N201" s="323"/>
      <c r="O201" s="323"/>
      <c r="P201" s="323"/>
      <c r="Q201" s="323"/>
    </row>
    <row r="202" spans="1:17" s="322" customFormat="1" ht="20.100000000000001" customHeight="1" x14ac:dyDescent="0.2">
      <c r="A202" s="321"/>
      <c r="B202" s="323"/>
      <c r="C202" s="323"/>
      <c r="D202" s="323"/>
      <c r="E202" s="323"/>
      <c r="F202" s="323"/>
      <c r="G202" s="323"/>
      <c r="H202" s="323"/>
      <c r="I202" s="323"/>
      <c r="J202" s="323"/>
      <c r="K202" s="323"/>
      <c r="L202" s="323"/>
      <c r="M202" s="651"/>
      <c r="N202" s="323"/>
      <c r="O202" s="323"/>
      <c r="P202" s="323"/>
      <c r="Q202" s="323"/>
    </row>
    <row r="203" spans="1:17" s="322" customFormat="1" ht="20.100000000000001" customHeight="1" x14ac:dyDescent="0.2">
      <c r="A203" s="321"/>
      <c r="B203" s="323"/>
      <c r="C203" s="323"/>
      <c r="D203" s="323"/>
      <c r="E203" s="323"/>
      <c r="F203" s="323"/>
      <c r="G203" s="323"/>
      <c r="H203" s="323"/>
      <c r="I203" s="323"/>
      <c r="J203" s="323"/>
      <c r="K203" s="323"/>
      <c r="L203" s="323"/>
      <c r="M203" s="651"/>
      <c r="N203" s="323"/>
      <c r="O203" s="323"/>
      <c r="P203" s="323"/>
      <c r="Q203" s="323"/>
    </row>
    <row r="204" spans="1:17" s="322" customFormat="1" ht="20.100000000000001" customHeight="1" x14ac:dyDescent="0.2">
      <c r="A204" s="321"/>
      <c r="B204" s="323"/>
      <c r="C204" s="323"/>
      <c r="D204" s="323"/>
      <c r="E204" s="323"/>
      <c r="F204" s="323"/>
      <c r="G204" s="323"/>
      <c r="H204" s="323"/>
      <c r="I204" s="323"/>
      <c r="J204" s="323"/>
      <c r="K204" s="323"/>
      <c r="L204" s="323"/>
      <c r="M204" s="651"/>
      <c r="N204" s="323"/>
      <c r="O204" s="323"/>
      <c r="P204" s="323"/>
      <c r="Q204" s="323"/>
    </row>
    <row r="205" spans="1:17" s="322" customFormat="1" ht="20.100000000000001" customHeight="1" x14ac:dyDescent="0.2">
      <c r="A205" s="321"/>
      <c r="B205" s="323"/>
      <c r="C205" s="323"/>
      <c r="D205" s="323"/>
      <c r="E205" s="323"/>
      <c r="F205" s="323"/>
      <c r="G205" s="323"/>
      <c r="H205" s="323"/>
      <c r="I205" s="323"/>
      <c r="J205" s="323"/>
      <c r="K205" s="323"/>
      <c r="L205" s="323"/>
      <c r="M205" s="651"/>
      <c r="N205" s="323"/>
      <c r="O205" s="323"/>
      <c r="P205" s="323"/>
      <c r="Q205" s="323"/>
    </row>
    <row r="206" spans="1:17" s="322" customFormat="1" ht="20.100000000000001" customHeight="1" x14ac:dyDescent="0.2">
      <c r="A206" s="321"/>
      <c r="B206" s="323"/>
      <c r="C206" s="323"/>
      <c r="D206" s="323"/>
      <c r="E206" s="323"/>
      <c r="F206" s="323"/>
      <c r="G206" s="323"/>
      <c r="H206" s="323"/>
      <c r="I206" s="323"/>
      <c r="J206" s="323"/>
      <c r="K206" s="323"/>
      <c r="L206" s="323"/>
      <c r="M206" s="651"/>
      <c r="N206" s="323"/>
      <c r="O206" s="323"/>
      <c r="P206" s="323"/>
      <c r="Q206" s="323"/>
    </row>
    <row r="207" spans="1:17" s="322" customFormat="1" ht="20.100000000000001" customHeight="1" x14ac:dyDescent="0.2">
      <c r="A207" s="321"/>
      <c r="B207" s="323"/>
      <c r="C207" s="323"/>
      <c r="D207" s="323"/>
      <c r="E207" s="323"/>
      <c r="F207" s="323"/>
      <c r="G207" s="323"/>
      <c r="H207" s="323"/>
      <c r="I207" s="323"/>
      <c r="J207" s="323"/>
      <c r="K207" s="323"/>
      <c r="L207" s="323"/>
      <c r="M207" s="651"/>
      <c r="N207" s="323"/>
      <c r="O207" s="323"/>
      <c r="P207" s="323"/>
      <c r="Q207" s="323"/>
    </row>
    <row r="208" spans="1:17" s="322" customFormat="1" ht="20.100000000000001" customHeight="1" x14ac:dyDescent="0.2">
      <c r="A208" s="321"/>
      <c r="B208" s="323"/>
      <c r="C208" s="323"/>
      <c r="D208" s="323"/>
      <c r="E208" s="323"/>
      <c r="F208" s="323"/>
      <c r="G208" s="323"/>
      <c r="H208" s="323"/>
      <c r="I208" s="323"/>
      <c r="J208" s="323"/>
      <c r="K208" s="323"/>
      <c r="L208" s="323"/>
      <c r="M208" s="651"/>
      <c r="N208" s="323"/>
      <c r="O208" s="323"/>
      <c r="P208" s="323"/>
      <c r="Q208" s="323"/>
    </row>
    <row r="209" spans="1:17" s="322" customFormat="1" ht="20.100000000000001" customHeight="1" x14ac:dyDescent="0.2">
      <c r="A209" s="321"/>
      <c r="B209" s="323"/>
      <c r="C209" s="323"/>
      <c r="D209" s="323"/>
      <c r="E209" s="323"/>
      <c r="F209" s="323"/>
      <c r="G209" s="323"/>
      <c r="H209" s="323"/>
      <c r="I209" s="323"/>
      <c r="J209" s="323"/>
      <c r="K209" s="323"/>
      <c r="L209" s="323"/>
      <c r="M209" s="651"/>
      <c r="N209" s="323"/>
      <c r="O209" s="323"/>
      <c r="P209" s="323"/>
      <c r="Q209" s="323"/>
    </row>
    <row r="210" spans="1:17" s="322" customFormat="1" ht="20.100000000000001" customHeight="1" x14ac:dyDescent="0.2">
      <c r="A210" s="321"/>
      <c r="B210" s="323"/>
      <c r="C210" s="323"/>
      <c r="D210" s="323"/>
      <c r="E210" s="323"/>
      <c r="F210" s="323"/>
      <c r="G210" s="323"/>
      <c r="H210" s="323"/>
      <c r="I210" s="323"/>
      <c r="J210" s="323"/>
      <c r="K210" s="323"/>
      <c r="L210" s="323"/>
      <c r="M210" s="651"/>
      <c r="N210" s="323"/>
      <c r="O210" s="323"/>
      <c r="P210" s="323"/>
      <c r="Q210" s="323"/>
    </row>
    <row r="211" spans="1:17" s="322" customFormat="1" ht="20.100000000000001" customHeight="1" x14ac:dyDescent="0.2">
      <c r="A211" s="321"/>
      <c r="B211" s="323"/>
      <c r="C211" s="323"/>
      <c r="D211" s="323"/>
      <c r="E211" s="323"/>
      <c r="F211" s="323"/>
      <c r="G211" s="323"/>
      <c r="H211" s="323"/>
      <c r="I211" s="323"/>
      <c r="J211" s="323"/>
      <c r="K211" s="323"/>
      <c r="L211" s="323"/>
      <c r="M211" s="651"/>
      <c r="N211" s="323"/>
      <c r="O211" s="323"/>
      <c r="P211" s="323"/>
      <c r="Q211" s="323"/>
    </row>
    <row r="212" spans="1:17" s="322" customFormat="1" ht="20.100000000000001" customHeight="1" x14ac:dyDescent="0.2">
      <c r="A212" s="321"/>
      <c r="B212" s="323"/>
      <c r="C212" s="323"/>
      <c r="D212" s="323"/>
      <c r="E212" s="323"/>
      <c r="F212" s="323"/>
      <c r="G212" s="323"/>
      <c r="H212" s="323"/>
      <c r="I212" s="323"/>
      <c r="J212" s="323"/>
      <c r="K212" s="323"/>
      <c r="L212" s="323"/>
      <c r="M212" s="651"/>
      <c r="N212" s="323"/>
      <c r="O212" s="323"/>
      <c r="P212" s="323"/>
      <c r="Q212" s="323"/>
    </row>
    <row r="213" spans="1:17" s="322" customFormat="1" ht="19.899999999999999" customHeight="1" x14ac:dyDescent="0.2">
      <c r="A213" s="321"/>
      <c r="B213" s="323"/>
      <c r="C213" s="323"/>
      <c r="D213" s="323"/>
      <c r="E213" s="323"/>
      <c r="F213" s="323"/>
      <c r="G213" s="323"/>
      <c r="H213" s="323"/>
      <c r="I213" s="323"/>
      <c r="J213" s="323"/>
      <c r="K213" s="323"/>
      <c r="L213" s="323"/>
      <c r="M213" s="651"/>
      <c r="N213" s="323"/>
      <c r="O213" s="323"/>
      <c r="P213" s="323"/>
      <c r="Q213" s="323"/>
    </row>
    <row r="214" spans="1:17" s="322" customFormat="1" ht="20.100000000000001" customHeight="1" x14ac:dyDescent="0.2">
      <c r="A214" s="321"/>
      <c r="B214" s="323"/>
      <c r="C214" s="323"/>
      <c r="D214" s="323"/>
      <c r="E214" s="323"/>
      <c r="F214" s="323"/>
      <c r="G214" s="323"/>
      <c r="H214" s="323"/>
      <c r="I214" s="323"/>
      <c r="J214" s="323"/>
      <c r="K214" s="323"/>
      <c r="L214" s="323"/>
      <c r="M214" s="651"/>
      <c r="N214" s="323"/>
      <c r="O214" s="323"/>
      <c r="P214" s="323"/>
      <c r="Q214" s="323"/>
    </row>
    <row r="215" spans="1:17" s="322" customFormat="1" ht="20.100000000000001" customHeight="1" x14ac:dyDescent="0.2">
      <c r="A215" s="321"/>
      <c r="B215" s="323"/>
      <c r="C215" s="323"/>
      <c r="D215" s="323"/>
      <c r="E215" s="323"/>
      <c r="F215" s="323"/>
      <c r="G215" s="323"/>
      <c r="H215" s="323"/>
      <c r="I215" s="323"/>
      <c r="J215" s="323"/>
      <c r="K215" s="323"/>
      <c r="L215" s="323"/>
      <c r="M215" s="651"/>
      <c r="N215" s="323"/>
      <c r="O215" s="323"/>
      <c r="P215" s="323"/>
      <c r="Q215" s="323"/>
    </row>
    <row r="216" spans="1:17" s="322" customFormat="1" ht="20.100000000000001" customHeight="1" x14ac:dyDescent="0.2">
      <c r="A216" s="321"/>
      <c r="B216" s="323"/>
      <c r="C216" s="323"/>
      <c r="D216" s="323"/>
      <c r="E216" s="323"/>
      <c r="F216" s="323"/>
      <c r="G216" s="323"/>
      <c r="H216" s="323"/>
      <c r="I216" s="323"/>
      <c r="J216" s="323"/>
      <c r="K216" s="323"/>
      <c r="L216" s="323"/>
      <c r="M216" s="651"/>
      <c r="N216" s="323"/>
      <c r="O216" s="323"/>
      <c r="P216" s="323"/>
      <c r="Q216" s="323"/>
    </row>
    <row r="217" spans="1:17" s="322" customFormat="1" ht="20.100000000000001" customHeight="1" x14ac:dyDescent="0.2">
      <c r="A217" s="321"/>
      <c r="B217" s="323"/>
      <c r="C217" s="323"/>
      <c r="D217" s="323"/>
      <c r="E217" s="323"/>
      <c r="F217" s="323"/>
      <c r="G217" s="323"/>
      <c r="H217" s="323"/>
      <c r="I217" s="323"/>
      <c r="J217" s="323"/>
      <c r="K217" s="323"/>
      <c r="L217" s="323"/>
      <c r="M217" s="651"/>
      <c r="N217" s="323"/>
      <c r="O217" s="323"/>
      <c r="P217" s="323"/>
      <c r="Q217" s="323"/>
    </row>
    <row r="218" spans="1:17" s="322" customFormat="1" ht="20.100000000000001" customHeight="1" x14ac:dyDescent="0.2">
      <c r="A218" s="321"/>
      <c r="B218" s="323"/>
      <c r="C218" s="323"/>
      <c r="D218" s="323"/>
      <c r="E218" s="323"/>
      <c r="F218" s="323"/>
      <c r="G218" s="323"/>
      <c r="H218" s="323"/>
      <c r="I218" s="323"/>
      <c r="J218" s="323"/>
      <c r="K218" s="323"/>
      <c r="L218" s="323"/>
      <c r="M218" s="651"/>
      <c r="N218" s="323"/>
      <c r="O218" s="323"/>
      <c r="P218" s="323"/>
      <c r="Q218" s="323"/>
    </row>
    <row r="219" spans="1:17" s="322" customFormat="1" ht="20.100000000000001" customHeight="1" x14ac:dyDescent="0.2">
      <c r="A219" s="321"/>
      <c r="B219" s="323"/>
      <c r="C219" s="323"/>
      <c r="D219" s="323"/>
      <c r="E219" s="323"/>
      <c r="F219" s="323"/>
      <c r="G219" s="323"/>
      <c r="H219" s="323"/>
      <c r="I219" s="323"/>
      <c r="J219" s="323"/>
      <c r="K219" s="323"/>
      <c r="L219" s="323"/>
      <c r="M219" s="651"/>
      <c r="N219" s="323"/>
      <c r="O219" s="323"/>
      <c r="P219" s="323"/>
      <c r="Q219" s="323"/>
    </row>
    <row r="220" spans="1:17" s="322" customFormat="1" ht="20.100000000000001" customHeight="1" x14ac:dyDescent="0.2">
      <c r="A220" s="321"/>
      <c r="B220" s="323"/>
      <c r="C220" s="323"/>
      <c r="D220" s="323"/>
      <c r="E220" s="323"/>
      <c r="F220" s="323"/>
      <c r="G220" s="323"/>
      <c r="H220" s="323"/>
      <c r="I220" s="323"/>
      <c r="J220" s="323"/>
      <c r="K220" s="323"/>
      <c r="L220" s="323"/>
      <c r="M220" s="651"/>
      <c r="N220" s="323"/>
      <c r="O220" s="323"/>
      <c r="P220" s="323"/>
      <c r="Q220" s="323"/>
    </row>
    <row r="221" spans="1:17" s="322" customFormat="1" ht="20.100000000000001" customHeight="1" x14ac:dyDescent="0.2">
      <c r="A221" s="321"/>
      <c r="B221" s="323"/>
      <c r="C221" s="323"/>
      <c r="D221" s="323"/>
      <c r="E221" s="323"/>
      <c r="F221" s="323"/>
      <c r="G221" s="323"/>
      <c r="H221" s="323"/>
      <c r="I221" s="323"/>
      <c r="J221" s="323"/>
      <c r="K221" s="323"/>
      <c r="L221" s="323"/>
      <c r="M221" s="651"/>
      <c r="N221" s="323"/>
      <c r="O221" s="323"/>
      <c r="P221" s="323"/>
      <c r="Q221" s="323"/>
    </row>
    <row r="222" spans="1:17" s="322" customFormat="1" ht="20.100000000000001" customHeight="1" x14ac:dyDescent="0.2">
      <c r="A222" s="321"/>
      <c r="B222" s="323"/>
      <c r="C222" s="323"/>
      <c r="D222" s="323"/>
      <c r="E222" s="323"/>
      <c r="F222" s="323"/>
      <c r="G222" s="323"/>
      <c r="H222" s="323"/>
      <c r="I222" s="323"/>
      <c r="J222" s="323"/>
      <c r="K222" s="323"/>
      <c r="L222" s="323"/>
      <c r="M222" s="651"/>
      <c r="N222" s="323"/>
      <c r="O222" s="323"/>
      <c r="P222" s="323"/>
      <c r="Q222" s="323"/>
    </row>
    <row r="223" spans="1:17" s="322" customFormat="1" ht="20.100000000000001" customHeight="1" x14ac:dyDescent="0.2">
      <c r="A223" s="321"/>
      <c r="B223" s="323"/>
      <c r="C223" s="323"/>
      <c r="D223" s="323"/>
      <c r="E223" s="323"/>
      <c r="F223" s="323"/>
      <c r="G223" s="323"/>
      <c r="H223" s="323"/>
      <c r="I223" s="323"/>
      <c r="J223" s="323"/>
      <c r="K223" s="323"/>
      <c r="L223" s="323"/>
      <c r="M223" s="651"/>
      <c r="N223" s="323"/>
      <c r="O223" s="323"/>
      <c r="P223" s="323"/>
      <c r="Q223" s="323"/>
    </row>
    <row r="224" spans="1:17" s="322" customFormat="1" ht="20.100000000000001" customHeight="1" x14ac:dyDescent="0.2">
      <c r="A224" s="321"/>
      <c r="B224" s="323"/>
      <c r="C224" s="323"/>
      <c r="D224" s="323"/>
      <c r="E224" s="323"/>
      <c r="F224" s="323"/>
      <c r="G224" s="323"/>
      <c r="H224" s="323"/>
      <c r="I224" s="323"/>
      <c r="J224" s="323"/>
      <c r="K224" s="323"/>
      <c r="L224" s="323"/>
      <c r="M224" s="651"/>
      <c r="N224" s="323"/>
      <c r="O224" s="323"/>
      <c r="P224" s="323"/>
      <c r="Q224" s="323"/>
    </row>
    <row r="225" spans="1:17" s="322" customFormat="1" ht="20.100000000000001" customHeight="1" x14ac:dyDescent="0.2">
      <c r="A225" s="321"/>
      <c r="B225" s="323"/>
      <c r="C225" s="323"/>
      <c r="D225" s="323"/>
      <c r="E225" s="323"/>
      <c r="F225" s="323"/>
      <c r="G225" s="323"/>
      <c r="H225" s="323"/>
      <c r="I225" s="323"/>
      <c r="J225" s="323"/>
      <c r="K225" s="323"/>
      <c r="L225" s="323"/>
      <c r="M225" s="651"/>
      <c r="N225" s="323"/>
      <c r="O225" s="323"/>
      <c r="P225" s="323"/>
      <c r="Q225" s="323"/>
    </row>
    <row r="226" spans="1:17" s="322" customFormat="1" ht="20.100000000000001" customHeight="1" x14ac:dyDescent="0.2">
      <c r="A226" s="321"/>
      <c r="B226" s="323"/>
      <c r="C226" s="323"/>
      <c r="D226" s="323"/>
      <c r="E226" s="323"/>
      <c r="F226" s="323"/>
      <c r="G226" s="323"/>
      <c r="H226" s="323"/>
      <c r="I226" s="323"/>
      <c r="J226" s="323"/>
      <c r="K226" s="323"/>
      <c r="L226" s="323"/>
      <c r="M226" s="651"/>
      <c r="N226" s="323"/>
      <c r="O226" s="323"/>
      <c r="P226" s="323"/>
      <c r="Q226" s="323"/>
    </row>
    <row r="227" spans="1:17" s="322" customFormat="1" ht="20.100000000000001" customHeight="1" x14ac:dyDescent="0.2">
      <c r="A227" s="321"/>
      <c r="B227" s="323"/>
      <c r="C227" s="323"/>
      <c r="D227" s="323"/>
      <c r="E227" s="323"/>
      <c r="F227" s="323"/>
      <c r="G227" s="323"/>
      <c r="H227" s="323"/>
      <c r="I227" s="323"/>
      <c r="J227" s="323"/>
      <c r="K227" s="323"/>
      <c r="L227" s="323"/>
      <c r="M227" s="651"/>
      <c r="N227" s="323"/>
      <c r="O227" s="323"/>
      <c r="P227" s="323"/>
      <c r="Q227" s="323"/>
    </row>
    <row r="228" spans="1:17" ht="20.100000000000001" customHeight="1" x14ac:dyDescent="0.4"/>
    <row r="229" spans="1:17" ht="9.9499999999999993" customHeight="1" x14ac:dyDescent="0.4"/>
    <row r="230" spans="1:17" ht="20.100000000000001" customHeight="1" x14ac:dyDescent="0.4"/>
    <row r="231" spans="1:17" ht="20.100000000000001" customHeight="1" x14ac:dyDescent="0.4"/>
    <row r="232" spans="1:17" ht="20.100000000000001" customHeight="1" x14ac:dyDescent="0.4"/>
    <row r="233" spans="1:17" ht="20.100000000000001" customHeight="1" x14ac:dyDescent="0.4"/>
    <row r="234" spans="1:17" s="322" customFormat="1" ht="20.100000000000001" customHeight="1" x14ac:dyDescent="0.2">
      <c r="A234" s="321"/>
      <c r="B234" s="323"/>
      <c r="C234" s="323"/>
      <c r="D234" s="323"/>
      <c r="E234" s="323"/>
      <c r="F234" s="323"/>
      <c r="G234" s="323"/>
      <c r="H234" s="323"/>
      <c r="I234" s="323"/>
      <c r="J234" s="323"/>
      <c r="K234" s="323"/>
      <c r="L234" s="323"/>
      <c r="M234" s="651"/>
      <c r="N234" s="323"/>
      <c r="O234" s="323"/>
      <c r="P234" s="323"/>
      <c r="Q234" s="323"/>
    </row>
    <row r="235" spans="1:17" s="322" customFormat="1" ht="20.100000000000001" customHeight="1" x14ac:dyDescent="0.2">
      <c r="A235" s="321"/>
      <c r="B235" s="323"/>
      <c r="C235" s="323"/>
      <c r="D235" s="323"/>
      <c r="E235" s="323"/>
      <c r="F235" s="323"/>
      <c r="G235" s="323"/>
      <c r="H235" s="323"/>
      <c r="I235" s="323"/>
      <c r="J235" s="323"/>
      <c r="K235" s="323"/>
      <c r="L235" s="323"/>
      <c r="M235" s="651"/>
      <c r="N235" s="323"/>
      <c r="O235" s="323"/>
      <c r="P235" s="323"/>
      <c r="Q235" s="323"/>
    </row>
    <row r="236" spans="1:17" s="322" customFormat="1" ht="20.100000000000001" customHeight="1" x14ac:dyDescent="0.2">
      <c r="A236" s="321"/>
      <c r="B236" s="323"/>
      <c r="C236" s="323"/>
      <c r="D236" s="323"/>
      <c r="E236" s="323"/>
      <c r="F236" s="323"/>
      <c r="G236" s="323"/>
      <c r="H236" s="323"/>
      <c r="I236" s="323"/>
      <c r="J236" s="323"/>
      <c r="K236" s="323"/>
      <c r="L236" s="323"/>
      <c r="M236" s="651"/>
      <c r="N236" s="323"/>
      <c r="O236" s="323"/>
      <c r="P236" s="323"/>
      <c r="Q236" s="323"/>
    </row>
    <row r="237" spans="1:17" s="322" customFormat="1" ht="20.100000000000001" customHeight="1" x14ac:dyDescent="0.2">
      <c r="A237" s="321"/>
      <c r="B237" s="323"/>
      <c r="C237" s="323"/>
      <c r="D237" s="323"/>
      <c r="E237" s="323"/>
      <c r="F237" s="323"/>
      <c r="G237" s="323"/>
      <c r="H237" s="323"/>
      <c r="I237" s="323"/>
      <c r="J237" s="323"/>
      <c r="K237" s="323"/>
      <c r="L237" s="323"/>
      <c r="M237" s="651"/>
      <c r="N237" s="323"/>
      <c r="O237" s="323"/>
      <c r="P237" s="323"/>
      <c r="Q237" s="323"/>
    </row>
    <row r="238" spans="1:17" s="322" customFormat="1" ht="20.100000000000001" customHeight="1" x14ac:dyDescent="0.2">
      <c r="A238" s="321"/>
      <c r="B238" s="323"/>
      <c r="C238" s="323"/>
      <c r="D238" s="323"/>
      <c r="E238" s="323"/>
      <c r="F238" s="323"/>
      <c r="G238" s="323"/>
      <c r="H238" s="323"/>
      <c r="I238" s="323"/>
      <c r="J238" s="323"/>
      <c r="K238" s="323"/>
      <c r="L238" s="323"/>
      <c r="M238" s="651"/>
      <c r="N238" s="323"/>
      <c r="O238" s="323"/>
      <c r="P238" s="323"/>
      <c r="Q238" s="323"/>
    </row>
    <row r="239" spans="1:17" s="322" customFormat="1" ht="20.100000000000001" customHeight="1" x14ac:dyDescent="0.2">
      <c r="A239" s="321"/>
      <c r="B239" s="323"/>
      <c r="C239" s="323"/>
      <c r="D239" s="323"/>
      <c r="E239" s="323"/>
      <c r="F239" s="323"/>
      <c r="G239" s="323"/>
      <c r="H239" s="323"/>
      <c r="I239" s="323"/>
      <c r="J239" s="323"/>
      <c r="K239" s="323"/>
      <c r="L239" s="323"/>
      <c r="M239" s="651"/>
      <c r="N239" s="323"/>
      <c r="O239" s="323"/>
      <c r="P239" s="323"/>
      <c r="Q239" s="323"/>
    </row>
    <row r="240" spans="1:17" s="322" customFormat="1" ht="20.100000000000001" customHeight="1" x14ac:dyDescent="0.2">
      <c r="A240" s="321"/>
      <c r="B240" s="323"/>
      <c r="C240" s="323"/>
      <c r="D240" s="323"/>
      <c r="E240" s="323"/>
      <c r="F240" s="323"/>
      <c r="G240" s="323"/>
      <c r="H240" s="323"/>
      <c r="I240" s="323"/>
      <c r="J240" s="323"/>
      <c r="K240" s="323"/>
      <c r="L240" s="323"/>
      <c r="M240" s="651"/>
      <c r="N240" s="323"/>
      <c r="O240" s="323"/>
      <c r="P240" s="323"/>
      <c r="Q240" s="323"/>
    </row>
    <row r="241" spans="1:17" s="322" customFormat="1" ht="20.100000000000001" customHeight="1" x14ac:dyDescent="0.2">
      <c r="A241" s="321"/>
      <c r="B241" s="323"/>
      <c r="C241" s="323"/>
      <c r="D241" s="323"/>
      <c r="E241" s="323"/>
      <c r="F241" s="323"/>
      <c r="G241" s="323"/>
      <c r="H241" s="323"/>
      <c r="I241" s="323"/>
      <c r="J241" s="323"/>
      <c r="K241" s="323"/>
      <c r="L241" s="323"/>
      <c r="M241" s="651"/>
      <c r="N241" s="323"/>
      <c r="O241" s="323"/>
      <c r="P241" s="323"/>
      <c r="Q241" s="323"/>
    </row>
    <row r="242" spans="1:17" s="322" customFormat="1" ht="20.100000000000001" customHeight="1" x14ac:dyDescent="0.2">
      <c r="A242" s="321"/>
      <c r="B242" s="323"/>
      <c r="C242" s="323"/>
      <c r="D242" s="323"/>
      <c r="E242" s="323"/>
      <c r="F242" s="323"/>
      <c r="G242" s="323"/>
      <c r="H242" s="323"/>
      <c r="I242" s="323"/>
      <c r="J242" s="323"/>
      <c r="K242" s="323"/>
      <c r="L242" s="323"/>
      <c r="M242" s="651"/>
      <c r="N242" s="323"/>
      <c r="O242" s="323"/>
      <c r="P242" s="323"/>
      <c r="Q242" s="323"/>
    </row>
    <row r="243" spans="1:17" s="322" customFormat="1" ht="20.100000000000001" customHeight="1" x14ac:dyDescent="0.2">
      <c r="A243" s="321"/>
      <c r="B243" s="323"/>
      <c r="C243" s="323"/>
      <c r="D243" s="323"/>
      <c r="E243" s="323"/>
      <c r="F243" s="323"/>
      <c r="G243" s="323"/>
      <c r="H243" s="323"/>
      <c r="I243" s="323"/>
      <c r="J243" s="323"/>
      <c r="K243" s="323"/>
      <c r="L243" s="323"/>
      <c r="M243" s="651"/>
      <c r="N243" s="323"/>
      <c r="O243" s="323"/>
      <c r="P243" s="323"/>
      <c r="Q243" s="323"/>
    </row>
    <row r="244" spans="1:17" s="322" customFormat="1" ht="20.100000000000001" customHeight="1" x14ac:dyDescent="0.2">
      <c r="A244" s="321"/>
      <c r="B244" s="323"/>
      <c r="C244" s="323"/>
      <c r="D244" s="323"/>
      <c r="E244" s="323"/>
      <c r="F244" s="323"/>
      <c r="G244" s="323"/>
      <c r="H244" s="323"/>
      <c r="I244" s="323"/>
      <c r="J244" s="323"/>
      <c r="K244" s="323"/>
      <c r="L244" s="323"/>
      <c r="M244" s="651"/>
      <c r="N244" s="323"/>
      <c r="O244" s="323"/>
      <c r="P244" s="323"/>
      <c r="Q244" s="323"/>
    </row>
    <row r="245" spans="1:17" s="322" customFormat="1" ht="20.100000000000001" customHeight="1" x14ac:dyDescent="0.2">
      <c r="A245" s="321"/>
      <c r="B245" s="323"/>
      <c r="C245" s="323"/>
      <c r="D245" s="323"/>
      <c r="E245" s="323"/>
      <c r="F245" s="323"/>
      <c r="G245" s="323"/>
      <c r="H245" s="323"/>
      <c r="I245" s="323"/>
      <c r="J245" s="323"/>
      <c r="K245" s="323"/>
      <c r="L245" s="323"/>
      <c r="M245" s="651"/>
      <c r="N245" s="323"/>
      <c r="O245" s="323"/>
      <c r="P245" s="323"/>
      <c r="Q245" s="323"/>
    </row>
    <row r="246" spans="1:17" s="322" customFormat="1" ht="20.100000000000001" customHeight="1" x14ac:dyDescent="0.2">
      <c r="A246" s="321"/>
      <c r="B246" s="323"/>
      <c r="C246" s="323"/>
      <c r="D246" s="323"/>
      <c r="E246" s="323"/>
      <c r="F246" s="323"/>
      <c r="G246" s="323"/>
      <c r="H246" s="323"/>
      <c r="I246" s="323"/>
      <c r="J246" s="323"/>
      <c r="K246" s="323"/>
      <c r="L246" s="323"/>
      <c r="M246" s="651"/>
      <c r="N246" s="323"/>
      <c r="O246" s="323"/>
      <c r="P246" s="323"/>
      <c r="Q246" s="323"/>
    </row>
    <row r="247" spans="1:17" s="322" customFormat="1" ht="20.100000000000001" customHeight="1" x14ac:dyDescent="0.2">
      <c r="A247" s="321"/>
      <c r="B247" s="323"/>
      <c r="C247" s="323"/>
      <c r="D247" s="323"/>
      <c r="E247" s="323"/>
      <c r="F247" s="323"/>
      <c r="G247" s="323"/>
      <c r="H247" s="323"/>
      <c r="I247" s="323"/>
      <c r="J247" s="323"/>
      <c r="K247" s="323"/>
      <c r="L247" s="323"/>
      <c r="M247" s="651"/>
      <c r="N247" s="323"/>
      <c r="O247" s="323"/>
      <c r="P247" s="323"/>
      <c r="Q247" s="323"/>
    </row>
    <row r="248" spans="1:17" s="322" customFormat="1" ht="20.100000000000001" customHeight="1" x14ac:dyDescent="0.2">
      <c r="A248" s="321"/>
      <c r="B248" s="323"/>
      <c r="C248" s="323"/>
      <c r="D248" s="323"/>
      <c r="E248" s="323"/>
      <c r="F248" s="323"/>
      <c r="G248" s="323"/>
      <c r="H248" s="323"/>
      <c r="I248" s="323"/>
      <c r="J248" s="323"/>
      <c r="K248" s="323"/>
      <c r="L248" s="323"/>
      <c r="M248" s="651"/>
      <c r="N248" s="323"/>
      <c r="O248" s="323"/>
      <c r="P248" s="323"/>
      <c r="Q248" s="323"/>
    </row>
    <row r="249" spans="1:17" s="322" customFormat="1" ht="20.100000000000001" customHeight="1" x14ac:dyDescent="0.2">
      <c r="A249" s="321"/>
      <c r="B249" s="323"/>
      <c r="C249" s="323"/>
      <c r="D249" s="323"/>
      <c r="E249" s="323"/>
      <c r="F249" s="323"/>
      <c r="G249" s="323"/>
      <c r="H249" s="323"/>
      <c r="I249" s="323"/>
      <c r="J249" s="323"/>
      <c r="K249" s="323"/>
      <c r="L249" s="323"/>
      <c r="M249" s="651"/>
      <c r="N249" s="323"/>
      <c r="O249" s="323"/>
      <c r="P249" s="323"/>
      <c r="Q249" s="323"/>
    </row>
    <row r="250" spans="1:17" s="322" customFormat="1" ht="20.100000000000001" customHeight="1" x14ac:dyDescent="0.2">
      <c r="A250" s="321"/>
      <c r="B250" s="323"/>
      <c r="C250" s="323"/>
      <c r="D250" s="323"/>
      <c r="E250" s="323"/>
      <c r="F250" s="323"/>
      <c r="G250" s="323"/>
      <c r="H250" s="323"/>
      <c r="I250" s="323"/>
      <c r="J250" s="323"/>
      <c r="K250" s="323"/>
      <c r="L250" s="323"/>
      <c r="M250" s="651"/>
      <c r="N250" s="323"/>
      <c r="O250" s="323"/>
      <c r="P250" s="323"/>
      <c r="Q250" s="323"/>
    </row>
    <row r="251" spans="1:17" s="322" customFormat="1" ht="20.100000000000001" customHeight="1" x14ac:dyDescent="0.2">
      <c r="A251" s="321"/>
      <c r="B251" s="323"/>
      <c r="C251" s="323"/>
      <c r="D251" s="323"/>
      <c r="E251" s="323"/>
      <c r="F251" s="323"/>
      <c r="G251" s="323"/>
      <c r="H251" s="323"/>
      <c r="I251" s="323"/>
      <c r="J251" s="323"/>
      <c r="K251" s="323"/>
      <c r="L251" s="323"/>
      <c r="M251" s="651"/>
      <c r="N251" s="323"/>
      <c r="O251" s="323"/>
      <c r="P251" s="323"/>
      <c r="Q251" s="323"/>
    </row>
    <row r="252" spans="1:17" s="322" customFormat="1" ht="20.100000000000001" customHeight="1" x14ac:dyDescent="0.2">
      <c r="A252" s="321"/>
      <c r="B252" s="323"/>
      <c r="C252" s="323"/>
      <c r="D252" s="323"/>
      <c r="E252" s="323"/>
      <c r="F252" s="323"/>
      <c r="G252" s="323"/>
      <c r="H252" s="323"/>
      <c r="I252" s="323"/>
      <c r="J252" s="323"/>
      <c r="K252" s="323"/>
      <c r="L252" s="323"/>
      <c r="M252" s="651"/>
      <c r="N252" s="323"/>
      <c r="O252" s="323"/>
      <c r="P252" s="323"/>
      <c r="Q252" s="323"/>
    </row>
    <row r="253" spans="1:17" s="322" customFormat="1" ht="20.100000000000001" customHeight="1" x14ac:dyDescent="0.2">
      <c r="A253" s="321"/>
      <c r="B253" s="323"/>
      <c r="C253" s="323"/>
      <c r="D253" s="323"/>
      <c r="E253" s="323"/>
      <c r="F253" s="323"/>
      <c r="G253" s="323"/>
      <c r="H253" s="323"/>
      <c r="I253" s="323"/>
      <c r="J253" s="323"/>
      <c r="K253" s="323"/>
      <c r="L253" s="323"/>
      <c r="M253" s="651"/>
      <c r="N253" s="323"/>
      <c r="O253" s="323"/>
      <c r="P253" s="323"/>
      <c r="Q253" s="323"/>
    </row>
    <row r="254" spans="1:17" s="322" customFormat="1" ht="20.100000000000001" customHeight="1" x14ac:dyDescent="0.2">
      <c r="A254" s="321"/>
      <c r="B254" s="323"/>
      <c r="C254" s="323"/>
      <c r="D254" s="323"/>
      <c r="E254" s="323"/>
      <c r="F254" s="323"/>
      <c r="G254" s="323"/>
      <c r="H254" s="323"/>
      <c r="I254" s="323"/>
      <c r="J254" s="323"/>
      <c r="K254" s="323"/>
      <c r="L254" s="323"/>
      <c r="M254" s="651"/>
      <c r="N254" s="323"/>
      <c r="O254" s="323"/>
      <c r="P254" s="323"/>
      <c r="Q254" s="323"/>
    </row>
    <row r="255" spans="1:17" s="322" customFormat="1" ht="20.100000000000001" customHeight="1" x14ac:dyDescent="0.2">
      <c r="A255" s="321"/>
      <c r="B255" s="323"/>
      <c r="C255" s="323"/>
      <c r="D255" s="323"/>
      <c r="E255" s="323"/>
      <c r="F255" s="323"/>
      <c r="G255" s="323"/>
      <c r="H255" s="323"/>
      <c r="I255" s="323"/>
      <c r="J255" s="323"/>
      <c r="K255" s="323"/>
      <c r="L255" s="323"/>
      <c r="M255" s="651"/>
      <c r="N255" s="323"/>
      <c r="O255" s="323"/>
      <c r="P255" s="323"/>
      <c r="Q255" s="323"/>
    </row>
    <row r="256" spans="1:17" s="322" customFormat="1" ht="20.100000000000001" customHeight="1" x14ac:dyDescent="0.2">
      <c r="A256" s="321"/>
      <c r="B256" s="323"/>
      <c r="C256" s="323"/>
      <c r="D256" s="323"/>
      <c r="E256" s="323"/>
      <c r="F256" s="323"/>
      <c r="G256" s="323"/>
      <c r="H256" s="323"/>
      <c r="I256" s="323"/>
      <c r="J256" s="323"/>
      <c r="K256" s="323"/>
      <c r="L256" s="323"/>
      <c r="M256" s="651"/>
      <c r="N256" s="323"/>
      <c r="O256" s="323"/>
      <c r="P256" s="323"/>
      <c r="Q256" s="323"/>
    </row>
    <row r="257" spans="1:17" s="322" customFormat="1" ht="20.100000000000001" customHeight="1" x14ac:dyDescent="0.2">
      <c r="A257" s="321"/>
      <c r="B257" s="323"/>
      <c r="C257" s="323"/>
      <c r="D257" s="323"/>
      <c r="E257" s="323"/>
      <c r="F257" s="323"/>
      <c r="G257" s="323"/>
      <c r="H257" s="323"/>
      <c r="I257" s="323"/>
      <c r="J257" s="323"/>
      <c r="K257" s="323"/>
      <c r="L257" s="323"/>
      <c r="M257" s="651"/>
      <c r="N257" s="323"/>
      <c r="O257" s="323"/>
      <c r="P257" s="323"/>
      <c r="Q257" s="323"/>
    </row>
    <row r="258" spans="1:17" s="322" customFormat="1" ht="20.100000000000001" customHeight="1" x14ac:dyDescent="0.2">
      <c r="A258" s="321"/>
      <c r="B258" s="323"/>
      <c r="C258" s="323"/>
      <c r="D258" s="323"/>
      <c r="E258" s="323"/>
      <c r="F258" s="323"/>
      <c r="G258" s="323"/>
      <c r="H258" s="323"/>
      <c r="I258" s="323"/>
      <c r="J258" s="323"/>
      <c r="K258" s="323"/>
      <c r="L258" s="323"/>
      <c r="M258" s="651"/>
      <c r="N258" s="323"/>
      <c r="O258" s="323"/>
      <c r="P258" s="323"/>
      <c r="Q258" s="323"/>
    </row>
    <row r="259" spans="1:17" s="322" customFormat="1" ht="20.100000000000001" customHeight="1" x14ac:dyDescent="0.2">
      <c r="A259" s="321"/>
      <c r="B259" s="323"/>
      <c r="C259" s="323"/>
      <c r="D259" s="323"/>
      <c r="E259" s="323"/>
      <c r="F259" s="323"/>
      <c r="G259" s="323"/>
      <c r="H259" s="323"/>
      <c r="I259" s="323"/>
      <c r="J259" s="323"/>
      <c r="K259" s="323"/>
      <c r="L259" s="323"/>
      <c r="M259" s="651"/>
      <c r="N259" s="323"/>
      <c r="O259" s="323"/>
      <c r="P259" s="323"/>
      <c r="Q259" s="323"/>
    </row>
    <row r="260" spans="1:17" s="322" customFormat="1" ht="20.100000000000001" customHeight="1" x14ac:dyDescent="0.2">
      <c r="A260" s="321"/>
      <c r="B260" s="323"/>
      <c r="C260" s="323"/>
      <c r="D260" s="323"/>
      <c r="E260" s="323"/>
      <c r="F260" s="323"/>
      <c r="G260" s="323"/>
      <c r="H260" s="323"/>
      <c r="I260" s="323"/>
      <c r="J260" s="323"/>
      <c r="K260" s="323"/>
      <c r="L260" s="323"/>
      <c r="M260" s="651"/>
      <c r="N260" s="323"/>
      <c r="O260" s="323"/>
      <c r="P260" s="323"/>
      <c r="Q260" s="323"/>
    </row>
    <row r="261" spans="1:17" s="322" customFormat="1" ht="20.100000000000001" customHeight="1" x14ac:dyDescent="0.2">
      <c r="A261" s="321"/>
      <c r="B261" s="323"/>
      <c r="C261" s="323"/>
      <c r="D261" s="323"/>
      <c r="E261" s="323"/>
      <c r="F261" s="323"/>
      <c r="G261" s="323"/>
      <c r="H261" s="323"/>
      <c r="I261" s="323"/>
      <c r="J261" s="323"/>
      <c r="K261" s="323"/>
      <c r="L261" s="323"/>
      <c r="M261" s="651"/>
      <c r="N261" s="323"/>
      <c r="O261" s="323"/>
      <c r="P261" s="323"/>
      <c r="Q261" s="323"/>
    </row>
    <row r="262" spans="1:17" s="322" customFormat="1" ht="20.100000000000001" customHeight="1" x14ac:dyDescent="0.2">
      <c r="A262" s="321"/>
      <c r="B262" s="323"/>
      <c r="C262" s="323"/>
      <c r="D262" s="323"/>
      <c r="E262" s="323"/>
      <c r="F262" s="323"/>
      <c r="G262" s="323"/>
      <c r="H262" s="323"/>
      <c r="I262" s="323"/>
      <c r="J262" s="323"/>
      <c r="K262" s="323"/>
      <c r="L262" s="323"/>
      <c r="M262" s="651"/>
      <c r="N262" s="323"/>
      <c r="O262" s="323"/>
      <c r="P262" s="323"/>
      <c r="Q262" s="323"/>
    </row>
    <row r="263" spans="1:17" s="322" customFormat="1" ht="20.100000000000001" customHeight="1" x14ac:dyDescent="0.2">
      <c r="A263" s="321"/>
      <c r="B263" s="323"/>
      <c r="C263" s="323"/>
      <c r="D263" s="323"/>
      <c r="E263" s="323"/>
      <c r="F263" s="323"/>
      <c r="G263" s="323"/>
      <c r="H263" s="323"/>
      <c r="I263" s="323"/>
      <c r="J263" s="323"/>
      <c r="K263" s="323"/>
      <c r="L263" s="323"/>
      <c r="M263" s="651"/>
      <c r="N263" s="323"/>
      <c r="O263" s="323"/>
      <c r="P263" s="323"/>
      <c r="Q263" s="323"/>
    </row>
    <row r="264" spans="1:17" s="322" customFormat="1" ht="20.100000000000001" customHeight="1" x14ac:dyDescent="0.2">
      <c r="A264" s="321"/>
      <c r="B264" s="323"/>
      <c r="C264" s="323"/>
      <c r="D264" s="323"/>
      <c r="E264" s="323"/>
      <c r="F264" s="323"/>
      <c r="G264" s="323"/>
      <c r="H264" s="323"/>
      <c r="I264" s="323"/>
      <c r="J264" s="323"/>
      <c r="K264" s="323"/>
      <c r="L264" s="323"/>
      <c r="M264" s="651"/>
      <c r="N264" s="323"/>
      <c r="O264" s="323"/>
      <c r="P264" s="323"/>
      <c r="Q264" s="323"/>
    </row>
    <row r="265" spans="1:17" s="322" customFormat="1" ht="20.100000000000001" customHeight="1" x14ac:dyDescent="0.2">
      <c r="A265" s="321"/>
      <c r="B265" s="323"/>
      <c r="C265" s="323"/>
      <c r="D265" s="323"/>
      <c r="E265" s="323"/>
      <c r="F265" s="323"/>
      <c r="G265" s="323"/>
      <c r="H265" s="323"/>
      <c r="I265" s="323"/>
      <c r="J265" s="323"/>
      <c r="K265" s="323"/>
      <c r="L265" s="323"/>
      <c r="M265" s="651"/>
      <c r="N265" s="323"/>
      <c r="O265" s="323"/>
      <c r="P265" s="323"/>
      <c r="Q265" s="323"/>
    </row>
    <row r="266" spans="1:17" s="322" customFormat="1" ht="20.100000000000001" customHeight="1" x14ac:dyDescent="0.2">
      <c r="A266" s="321"/>
      <c r="B266" s="323"/>
      <c r="C266" s="323"/>
      <c r="D266" s="323"/>
      <c r="E266" s="323"/>
      <c r="F266" s="323"/>
      <c r="G266" s="323"/>
      <c r="H266" s="323"/>
      <c r="I266" s="323"/>
      <c r="J266" s="323"/>
      <c r="K266" s="323"/>
      <c r="L266" s="323"/>
      <c r="M266" s="651"/>
      <c r="N266" s="323"/>
      <c r="O266" s="323"/>
      <c r="P266" s="323"/>
      <c r="Q266" s="323"/>
    </row>
    <row r="267" spans="1:17" s="322" customFormat="1" ht="20.100000000000001" customHeight="1" x14ac:dyDescent="0.2">
      <c r="A267" s="321"/>
      <c r="B267" s="323"/>
      <c r="C267" s="323"/>
      <c r="D267" s="323"/>
      <c r="E267" s="323"/>
      <c r="F267" s="323"/>
      <c r="G267" s="323"/>
      <c r="H267" s="323"/>
      <c r="I267" s="323"/>
      <c r="J267" s="323"/>
      <c r="K267" s="323"/>
      <c r="L267" s="323"/>
      <c r="M267" s="651"/>
      <c r="N267" s="323"/>
      <c r="O267" s="323"/>
      <c r="P267" s="323"/>
      <c r="Q267" s="323"/>
    </row>
    <row r="268" spans="1:17" s="322" customFormat="1" ht="20.100000000000001" customHeight="1" x14ac:dyDescent="0.2">
      <c r="A268" s="321"/>
      <c r="B268" s="323"/>
      <c r="C268" s="323"/>
      <c r="D268" s="323"/>
      <c r="E268" s="323"/>
      <c r="F268" s="323"/>
      <c r="G268" s="323"/>
      <c r="H268" s="323"/>
      <c r="I268" s="323"/>
      <c r="J268" s="323"/>
      <c r="K268" s="323"/>
      <c r="L268" s="323"/>
      <c r="M268" s="651"/>
      <c r="N268" s="323"/>
      <c r="O268" s="323"/>
      <c r="P268" s="323"/>
      <c r="Q268" s="323"/>
    </row>
    <row r="269" spans="1:17" s="322" customFormat="1" ht="20.100000000000001" customHeight="1" x14ac:dyDescent="0.2">
      <c r="A269" s="321"/>
      <c r="B269" s="323"/>
      <c r="C269" s="323"/>
      <c r="D269" s="323"/>
      <c r="E269" s="323"/>
      <c r="F269" s="323"/>
      <c r="G269" s="323"/>
      <c r="H269" s="323"/>
      <c r="I269" s="323"/>
      <c r="J269" s="323"/>
      <c r="K269" s="323"/>
      <c r="L269" s="323"/>
      <c r="M269" s="651"/>
      <c r="N269" s="323"/>
      <c r="O269" s="323"/>
      <c r="P269" s="323"/>
      <c r="Q269" s="323"/>
    </row>
    <row r="270" spans="1:17" s="322" customFormat="1" ht="20.100000000000001" customHeight="1" x14ac:dyDescent="0.2">
      <c r="A270" s="321"/>
      <c r="B270" s="323"/>
      <c r="C270" s="323"/>
      <c r="D270" s="323"/>
      <c r="E270" s="323"/>
      <c r="F270" s="323"/>
      <c r="G270" s="323"/>
      <c r="H270" s="323"/>
      <c r="I270" s="323"/>
      <c r="J270" s="323"/>
      <c r="K270" s="323"/>
      <c r="L270" s="323"/>
      <c r="M270" s="651"/>
      <c r="N270" s="323"/>
      <c r="O270" s="323"/>
      <c r="P270" s="323"/>
      <c r="Q270" s="323"/>
    </row>
    <row r="271" spans="1:17" ht="20.100000000000001" customHeight="1" x14ac:dyDescent="0.4"/>
    <row r="272" spans="1:17" ht="9.9499999999999993" customHeight="1" x14ac:dyDescent="0.4"/>
    <row r="273" spans="1:17" ht="20.100000000000001" customHeight="1" x14ac:dyDescent="0.4"/>
    <row r="274" spans="1:17" ht="20.100000000000001" customHeight="1" x14ac:dyDescent="0.4"/>
    <row r="275" spans="1:17" ht="20.100000000000001" customHeight="1" x14ac:dyDescent="0.4"/>
    <row r="276" spans="1:17" s="322" customFormat="1" ht="20.100000000000001" customHeight="1" x14ac:dyDescent="0.2">
      <c r="A276" s="321"/>
      <c r="B276" s="323"/>
      <c r="C276" s="323"/>
      <c r="D276" s="323"/>
      <c r="E276" s="323"/>
      <c r="F276" s="323"/>
      <c r="G276" s="323"/>
      <c r="H276" s="323"/>
      <c r="I276" s="323"/>
      <c r="J276" s="323"/>
      <c r="K276" s="323"/>
      <c r="L276" s="323"/>
      <c r="M276" s="651"/>
      <c r="N276" s="323"/>
      <c r="O276" s="323"/>
      <c r="P276" s="323"/>
      <c r="Q276" s="323"/>
    </row>
    <row r="277" spans="1:17" s="322" customFormat="1" ht="20.100000000000001" customHeight="1" x14ac:dyDescent="0.2">
      <c r="A277" s="321"/>
      <c r="B277" s="323"/>
      <c r="C277" s="323"/>
      <c r="D277" s="323"/>
      <c r="E277" s="323"/>
      <c r="F277" s="323"/>
      <c r="G277" s="323"/>
      <c r="H277" s="323"/>
      <c r="I277" s="323"/>
      <c r="J277" s="323"/>
      <c r="K277" s="323"/>
      <c r="L277" s="323"/>
      <c r="M277" s="651"/>
      <c r="N277" s="323"/>
      <c r="O277" s="323"/>
      <c r="P277" s="323"/>
      <c r="Q277" s="323"/>
    </row>
    <row r="278" spans="1:17" s="322" customFormat="1" ht="20.100000000000001" customHeight="1" x14ac:dyDescent="0.2">
      <c r="A278" s="321"/>
      <c r="B278" s="323"/>
      <c r="C278" s="323"/>
      <c r="D278" s="323"/>
      <c r="E278" s="323"/>
      <c r="F278" s="323"/>
      <c r="G278" s="323"/>
      <c r="H278" s="323"/>
      <c r="I278" s="323"/>
      <c r="J278" s="323"/>
      <c r="K278" s="323"/>
      <c r="L278" s="323"/>
      <c r="M278" s="651"/>
      <c r="N278" s="323"/>
      <c r="O278" s="323"/>
      <c r="P278" s="323"/>
      <c r="Q278" s="323"/>
    </row>
    <row r="279" spans="1:17" s="322" customFormat="1" ht="20.100000000000001" customHeight="1" x14ac:dyDescent="0.2">
      <c r="A279" s="321"/>
      <c r="B279" s="323"/>
      <c r="C279" s="323"/>
      <c r="D279" s="323"/>
      <c r="E279" s="323"/>
      <c r="F279" s="323"/>
      <c r="G279" s="323"/>
      <c r="H279" s="323"/>
      <c r="I279" s="323"/>
      <c r="J279" s="323"/>
      <c r="K279" s="323"/>
      <c r="L279" s="323"/>
      <c r="M279" s="651"/>
      <c r="N279" s="323"/>
      <c r="O279" s="323"/>
      <c r="P279" s="323"/>
      <c r="Q279" s="323"/>
    </row>
    <row r="280" spans="1:17" s="322" customFormat="1" ht="20.100000000000001" customHeight="1" x14ac:dyDescent="0.2">
      <c r="A280" s="321"/>
      <c r="B280" s="323"/>
      <c r="C280" s="323"/>
      <c r="D280" s="323"/>
      <c r="E280" s="323"/>
      <c r="F280" s="323"/>
      <c r="G280" s="323"/>
      <c r="H280" s="323"/>
      <c r="I280" s="323"/>
      <c r="J280" s="323"/>
      <c r="K280" s="323"/>
      <c r="L280" s="323"/>
      <c r="M280" s="651"/>
      <c r="N280" s="323"/>
      <c r="O280" s="323"/>
      <c r="P280" s="323"/>
      <c r="Q280" s="323"/>
    </row>
    <row r="281" spans="1:17" s="322" customFormat="1" ht="20.100000000000001" customHeight="1" x14ac:dyDescent="0.2">
      <c r="A281" s="321"/>
      <c r="B281" s="323"/>
      <c r="C281" s="323"/>
      <c r="D281" s="323"/>
      <c r="E281" s="323"/>
      <c r="F281" s="323"/>
      <c r="G281" s="323"/>
      <c r="H281" s="323"/>
      <c r="I281" s="323"/>
      <c r="J281" s="323"/>
      <c r="K281" s="323"/>
      <c r="L281" s="323"/>
      <c r="M281" s="651"/>
      <c r="N281" s="323"/>
      <c r="O281" s="323"/>
      <c r="P281" s="323"/>
      <c r="Q281" s="323"/>
    </row>
    <row r="282" spans="1:17" s="322" customFormat="1" ht="20.100000000000001" customHeight="1" x14ac:dyDescent="0.2">
      <c r="A282" s="321"/>
      <c r="B282" s="323"/>
      <c r="C282" s="323"/>
      <c r="D282" s="323"/>
      <c r="E282" s="323"/>
      <c r="F282" s="323"/>
      <c r="G282" s="323"/>
      <c r="H282" s="323"/>
      <c r="I282" s="323"/>
      <c r="J282" s="323"/>
      <c r="K282" s="323"/>
      <c r="L282" s="323"/>
      <c r="M282" s="651"/>
      <c r="N282" s="323"/>
      <c r="O282" s="323"/>
      <c r="P282" s="323"/>
      <c r="Q282" s="323"/>
    </row>
    <row r="283" spans="1:17" s="322" customFormat="1" ht="20.100000000000001" customHeight="1" x14ac:dyDescent="0.2">
      <c r="A283" s="321"/>
      <c r="B283" s="323"/>
      <c r="C283" s="323"/>
      <c r="D283" s="323"/>
      <c r="E283" s="323"/>
      <c r="F283" s="323"/>
      <c r="G283" s="323"/>
      <c r="H283" s="323"/>
      <c r="I283" s="323"/>
      <c r="J283" s="323"/>
      <c r="K283" s="323"/>
      <c r="L283" s="323"/>
      <c r="M283" s="651"/>
      <c r="N283" s="323"/>
      <c r="O283" s="323"/>
      <c r="P283" s="323"/>
      <c r="Q283" s="323"/>
    </row>
    <row r="284" spans="1:17" s="322" customFormat="1" ht="20.100000000000001" customHeight="1" x14ac:dyDescent="0.2">
      <c r="A284" s="321"/>
      <c r="B284" s="323"/>
      <c r="C284" s="323"/>
      <c r="D284" s="323"/>
      <c r="E284" s="323"/>
      <c r="F284" s="323"/>
      <c r="G284" s="323"/>
      <c r="H284" s="323"/>
      <c r="I284" s="323"/>
      <c r="J284" s="323"/>
      <c r="K284" s="323"/>
      <c r="L284" s="323"/>
      <c r="M284" s="651"/>
      <c r="N284" s="323"/>
      <c r="O284" s="323"/>
      <c r="P284" s="323"/>
      <c r="Q284" s="323"/>
    </row>
    <row r="285" spans="1:17" s="322" customFormat="1" ht="20.100000000000001" customHeight="1" x14ac:dyDescent="0.2">
      <c r="A285" s="321"/>
      <c r="B285" s="323"/>
      <c r="C285" s="323"/>
      <c r="D285" s="323"/>
      <c r="E285" s="323"/>
      <c r="F285" s="323"/>
      <c r="G285" s="323"/>
      <c r="H285" s="323"/>
      <c r="I285" s="323"/>
      <c r="J285" s="323"/>
      <c r="K285" s="323"/>
      <c r="L285" s="323"/>
      <c r="M285" s="651"/>
      <c r="N285" s="323"/>
      <c r="O285" s="323"/>
      <c r="P285" s="323"/>
      <c r="Q285" s="323"/>
    </row>
    <row r="286" spans="1:17" s="322" customFormat="1" ht="20.100000000000001" customHeight="1" x14ac:dyDescent="0.2">
      <c r="A286" s="321"/>
      <c r="B286" s="323"/>
      <c r="C286" s="323"/>
      <c r="D286" s="323"/>
      <c r="E286" s="323"/>
      <c r="F286" s="323"/>
      <c r="G286" s="323"/>
      <c r="H286" s="323"/>
      <c r="I286" s="323"/>
      <c r="J286" s="323"/>
      <c r="K286" s="323"/>
      <c r="L286" s="323"/>
      <c r="M286" s="651"/>
      <c r="N286" s="323"/>
      <c r="O286" s="323"/>
      <c r="P286" s="323"/>
      <c r="Q286" s="323"/>
    </row>
    <row r="287" spans="1:17" s="322" customFormat="1" ht="20.100000000000001" customHeight="1" x14ac:dyDescent="0.2">
      <c r="A287" s="321"/>
      <c r="B287" s="323"/>
      <c r="C287" s="323"/>
      <c r="D287" s="323"/>
      <c r="E287" s="323"/>
      <c r="F287" s="323"/>
      <c r="G287" s="323"/>
      <c r="H287" s="323"/>
      <c r="I287" s="323"/>
      <c r="J287" s="323"/>
      <c r="K287" s="323"/>
      <c r="L287" s="323"/>
      <c r="M287" s="651"/>
      <c r="N287" s="323"/>
      <c r="O287" s="323"/>
      <c r="P287" s="323"/>
      <c r="Q287" s="323"/>
    </row>
    <row r="288" spans="1:17" s="322" customFormat="1" ht="20.100000000000001" customHeight="1" x14ac:dyDescent="0.2">
      <c r="A288" s="321"/>
      <c r="B288" s="323"/>
      <c r="C288" s="323"/>
      <c r="D288" s="323"/>
      <c r="E288" s="323"/>
      <c r="F288" s="323"/>
      <c r="G288" s="323"/>
      <c r="H288" s="323"/>
      <c r="I288" s="323"/>
      <c r="J288" s="323"/>
      <c r="K288" s="323"/>
      <c r="L288" s="323"/>
      <c r="M288" s="651"/>
      <c r="N288" s="323"/>
      <c r="O288" s="323"/>
      <c r="P288" s="323"/>
      <c r="Q288" s="323"/>
    </row>
    <row r="289" spans="1:17" s="322" customFormat="1" ht="20.100000000000001" customHeight="1" x14ac:dyDescent="0.2">
      <c r="A289" s="321"/>
      <c r="B289" s="323"/>
      <c r="C289" s="323"/>
      <c r="D289" s="323"/>
      <c r="E289" s="323"/>
      <c r="F289" s="323"/>
      <c r="G289" s="323"/>
      <c r="H289" s="323"/>
      <c r="I289" s="323"/>
      <c r="J289" s="323"/>
      <c r="K289" s="323"/>
      <c r="L289" s="323"/>
      <c r="M289" s="651"/>
      <c r="N289" s="323"/>
      <c r="O289" s="323"/>
      <c r="P289" s="323"/>
      <c r="Q289" s="323"/>
    </row>
    <row r="290" spans="1:17" s="322" customFormat="1" ht="20.100000000000001" customHeight="1" x14ac:dyDescent="0.2">
      <c r="A290" s="321"/>
      <c r="B290" s="323"/>
      <c r="C290" s="323"/>
      <c r="D290" s="323"/>
      <c r="E290" s="323"/>
      <c r="F290" s="323"/>
      <c r="G290" s="323"/>
      <c r="H290" s="323"/>
      <c r="I290" s="323"/>
      <c r="J290" s="323"/>
      <c r="K290" s="323"/>
      <c r="L290" s="323"/>
      <c r="M290" s="651"/>
      <c r="N290" s="323"/>
      <c r="O290" s="323"/>
      <c r="P290" s="323"/>
      <c r="Q290" s="323"/>
    </row>
    <row r="291" spans="1:17" s="322" customFormat="1" ht="20.100000000000001" customHeight="1" x14ac:dyDescent="0.2">
      <c r="A291" s="321"/>
      <c r="B291" s="323"/>
      <c r="C291" s="323"/>
      <c r="D291" s="323"/>
      <c r="E291" s="323"/>
      <c r="F291" s="323"/>
      <c r="G291" s="323"/>
      <c r="H291" s="323"/>
      <c r="I291" s="323"/>
      <c r="J291" s="323"/>
      <c r="K291" s="323"/>
      <c r="L291" s="323"/>
      <c r="M291" s="651"/>
      <c r="N291" s="323"/>
      <c r="O291" s="323"/>
      <c r="P291" s="323"/>
      <c r="Q291" s="323"/>
    </row>
    <row r="292" spans="1:17" s="322" customFormat="1" ht="20.100000000000001" customHeight="1" x14ac:dyDescent="0.2">
      <c r="A292" s="321"/>
      <c r="B292" s="323"/>
      <c r="C292" s="323"/>
      <c r="D292" s="323"/>
      <c r="E292" s="323"/>
      <c r="F292" s="323"/>
      <c r="G292" s="323"/>
      <c r="H292" s="323"/>
      <c r="I292" s="323"/>
      <c r="J292" s="323"/>
      <c r="K292" s="323"/>
      <c r="L292" s="323"/>
      <c r="M292" s="651"/>
      <c r="N292" s="323"/>
      <c r="O292" s="323"/>
      <c r="P292" s="323"/>
      <c r="Q292" s="323"/>
    </row>
    <row r="293" spans="1:17" s="322" customFormat="1" ht="20.100000000000001" customHeight="1" x14ac:dyDescent="0.2">
      <c r="A293" s="321"/>
      <c r="B293" s="323"/>
      <c r="C293" s="323"/>
      <c r="D293" s="323"/>
      <c r="E293" s="323"/>
      <c r="F293" s="323"/>
      <c r="G293" s="323"/>
      <c r="H293" s="323"/>
      <c r="I293" s="323"/>
      <c r="J293" s="323"/>
      <c r="K293" s="323"/>
      <c r="L293" s="323"/>
      <c r="M293" s="651"/>
      <c r="N293" s="323"/>
      <c r="O293" s="323"/>
      <c r="P293" s="323"/>
      <c r="Q293" s="323"/>
    </row>
    <row r="294" spans="1:17" s="322" customFormat="1" ht="20.100000000000001" customHeight="1" x14ac:dyDescent="0.2">
      <c r="A294" s="321"/>
      <c r="B294" s="323"/>
      <c r="C294" s="323"/>
      <c r="D294" s="323"/>
      <c r="E294" s="323"/>
      <c r="F294" s="323"/>
      <c r="G294" s="323"/>
      <c r="H294" s="323"/>
      <c r="I294" s="323"/>
      <c r="J294" s="323"/>
      <c r="K294" s="323"/>
      <c r="L294" s="323"/>
      <c r="M294" s="651"/>
      <c r="N294" s="323"/>
      <c r="O294" s="323"/>
      <c r="P294" s="323"/>
      <c r="Q294" s="323"/>
    </row>
    <row r="295" spans="1:17" s="322" customFormat="1" ht="20.100000000000001" customHeight="1" x14ac:dyDescent="0.2">
      <c r="A295" s="321"/>
      <c r="B295" s="323"/>
      <c r="C295" s="323"/>
      <c r="D295" s="323"/>
      <c r="E295" s="323"/>
      <c r="F295" s="323"/>
      <c r="G295" s="323"/>
      <c r="H295" s="323"/>
      <c r="I295" s="323"/>
      <c r="J295" s="323"/>
      <c r="K295" s="323"/>
      <c r="L295" s="323"/>
      <c r="M295" s="651"/>
      <c r="N295" s="323"/>
      <c r="O295" s="323"/>
      <c r="P295" s="323"/>
      <c r="Q295" s="323"/>
    </row>
    <row r="296" spans="1:17" s="322" customFormat="1" ht="20.100000000000001" customHeight="1" x14ac:dyDescent="0.2">
      <c r="A296" s="321"/>
      <c r="B296" s="323"/>
      <c r="C296" s="323"/>
      <c r="D296" s="323"/>
      <c r="E296" s="323"/>
      <c r="F296" s="323"/>
      <c r="G296" s="323"/>
      <c r="H296" s="323"/>
      <c r="I296" s="323"/>
      <c r="J296" s="323"/>
      <c r="K296" s="323"/>
      <c r="L296" s="323"/>
      <c r="M296" s="651"/>
      <c r="N296" s="323"/>
      <c r="O296" s="323"/>
      <c r="P296" s="323"/>
      <c r="Q296" s="323"/>
    </row>
    <row r="297" spans="1:17" s="322" customFormat="1" ht="20.100000000000001" customHeight="1" x14ac:dyDescent="0.2">
      <c r="A297" s="321"/>
      <c r="B297" s="323"/>
      <c r="C297" s="323"/>
      <c r="D297" s="323"/>
      <c r="E297" s="323"/>
      <c r="F297" s="323"/>
      <c r="G297" s="323"/>
      <c r="H297" s="323"/>
      <c r="I297" s="323"/>
      <c r="J297" s="323"/>
      <c r="K297" s="323"/>
      <c r="L297" s="323"/>
      <c r="M297" s="651"/>
      <c r="N297" s="323"/>
      <c r="O297" s="323"/>
      <c r="P297" s="323"/>
      <c r="Q297" s="323"/>
    </row>
    <row r="298" spans="1:17" s="322" customFormat="1" ht="20.100000000000001" customHeight="1" x14ac:dyDescent="0.2">
      <c r="A298" s="321"/>
      <c r="B298" s="323"/>
      <c r="C298" s="323"/>
      <c r="D298" s="323"/>
      <c r="E298" s="323"/>
      <c r="F298" s="323"/>
      <c r="G298" s="323"/>
      <c r="H298" s="323"/>
      <c r="I298" s="323"/>
      <c r="J298" s="323"/>
      <c r="K298" s="323"/>
      <c r="L298" s="323"/>
      <c r="M298" s="651"/>
      <c r="N298" s="323"/>
      <c r="O298" s="323"/>
      <c r="P298" s="323"/>
      <c r="Q298" s="323"/>
    </row>
    <row r="299" spans="1:17" s="322" customFormat="1" ht="20.100000000000001" customHeight="1" x14ac:dyDescent="0.2">
      <c r="A299" s="321"/>
      <c r="B299" s="323"/>
      <c r="C299" s="323"/>
      <c r="D299" s="323"/>
      <c r="E299" s="323"/>
      <c r="F299" s="323"/>
      <c r="G299" s="323"/>
      <c r="H299" s="323"/>
      <c r="I299" s="323"/>
      <c r="J299" s="323"/>
      <c r="K299" s="323"/>
      <c r="L299" s="323"/>
      <c r="M299" s="651"/>
      <c r="N299" s="323"/>
      <c r="O299" s="323"/>
      <c r="P299" s="323"/>
      <c r="Q299" s="323"/>
    </row>
    <row r="300" spans="1:17" s="322" customFormat="1" ht="20.100000000000001" customHeight="1" x14ac:dyDescent="0.2">
      <c r="A300" s="321"/>
      <c r="B300" s="323"/>
      <c r="C300" s="323"/>
      <c r="D300" s="323"/>
      <c r="E300" s="323"/>
      <c r="F300" s="323"/>
      <c r="G300" s="323"/>
      <c r="H300" s="323"/>
      <c r="I300" s="323"/>
      <c r="J300" s="323"/>
      <c r="K300" s="323"/>
      <c r="L300" s="323"/>
      <c r="M300" s="651"/>
      <c r="N300" s="323"/>
      <c r="O300" s="323"/>
      <c r="P300" s="323"/>
      <c r="Q300" s="323"/>
    </row>
    <row r="301" spans="1:17" s="322" customFormat="1" ht="20.100000000000001" customHeight="1" x14ac:dyDescent="0.2">
      <c r="A301" s="321"/>
      <c r="B301" s="323"/>
      <c r="C301" s="323"/>
      <c r="D301" s="323"/>
      <c r="E301" s="323"/>
      <c r="F301" s="323"/>
      <c r="G301" s="323"/>
      <c r="H301" s="323"/>
      <c r="I301" s="323"/>
      <c r="J301" s="323"/>
      <c r="K301" s="323"/>
      <c r="L301" s="323"/>
      <c r="M301" s="651"/>
      <c r="N301" s="323"/>
      <c r="O301" s="323"/>
      <c r="P301" s="323"/>
      <c r="Q301" s="323"/>
    </row>
    <row r="302" spans="1:17" s="322" customFormat="1" ht="20.100000000000001" customHeight="1" x14ac:dyDescent="0.2">
      <c r="A302" s="321"/>
      <c r="B302" s="323"/>
      <c r="C302" s="323"/>
      <c r="D302" s="323"/>
      <c r="E302" s="323"/>
      <c r="F302" s="323"/>
      <c r="G302" s="323"/>
      <c r="H302" s="323"/>
      <c r="I302" s="323"/>
      <c r="J302" s="323"/>
      <c r="K302" s="323"/>
      <c r="L302" s="323"/>
      <c r="M302" s="651"/>
      <c r="N302" s="323"/>
      <c r="O302" s="323"/>
      <c r="P302" s="323"/>
      <c r="Q302" s="323"/>
    </row>
    <row r="303" spans="1:17" s="322" customFormat="1" ht="20.100000000000001" customHeight="1" x14ac:dyDescent="0.2">
      <c r="A303" s="321"/>
      <c r="B303" s="323"/>
      <c r="C303" s="323"/>
      <c r="D303" s="323"/>
      <c r="E303" s="323"/>
      <c r="F303" s="323"/>
      <c r="G303" s="323"/>
      <c r="H303" s="323"/>
      <c r="I303" s="323"/>
      <c r="J303" s="323"/>
      <c r="K303" s="323"/>
      <c r="L303" s="323"/>
      <c r="M303" s="651"/>
      <c r="N303" s="323"/>
      <c r="O303" s="323"/>
      <c r="P303" s="323"/>
      <c r="Q303" s="323"/>
    </row>
    <row r="304" spans="1:17" s="322" customFormat="1" ht="20.100000000000001" customHeight="1" x14ac:dyDescent="0.2">
      <c r="A304" s="321"/>
      <c r="B304" s="323"/>
      <c r="C304" s="323"/>
      <c r="D304" s="323"/>
      <c r="E304" s="323"/>
      <c r="F304" s="323"/>
      <c r="G304" s="323"/>
      <c r="H304" s="323"/>
      <c r="I304" s="323"/>
      <c r="J304" s="323"/>
      <c r="K304" s="323"/>
      <c r="L304" s="323"/>
      <c r="M304" s="651"/>
      <c r="N304" s="323"/>
      <c r="O304" s="323"/>
      <c r="P304" s="323"/>
      <c r="Q304" s="323"/>
    </row>
    <row r="305" spans="1:17" s="322" customFormat="1" ht="20.100000000000001" customHeight="1" x14ac:dyDescent="0.2">
      <c r="A305" s="321"/>
      <c r="B305" s="323"/>
      <c r="C305" s="323"/>
      <c r="D305" s="323"/>
      <c r="E305" s="323"/>
      <c r="F305" s="323"/>
      <c r="G305" s="323"/>
      <c r="H305" s="323"/>
      <c r="I305" s="323"/>
      <c r="J305" s="323"/>
      <c r="K305" s="323"/>
      <c r="L305" s="323"/>
      <c r="M305" s="651"/>
      <c r="N305" s="323"/>
      <c r="O305" s="323"/>
      <c r="P305" s="323"/>
      <c r="Q305" s="323"/>
    </row>
    <row r="306" spans="1:17" s="322" customFormat="1" ht="20.100000000000001" customHeight="1" x14ac:dyDescent="0.2">
      <c r="A306" s="321"/>
      <c r="B306" s="323"/>
      <c r="C306" s="323"/>
      <c r="D306" s="323"/>
      <c r="E306" s="323"/>
      <c r="F306" s="323"/>
      <c r="G306" s="323"/>
      <c r="H306" s="323"/>
      <c r="I306" s="323"/>
      <c r="J306" s="323"/>
      <c r="K306" s="323"/>
      <c r="L306" s="323"/>
      <c r="M306" s="651"/>
      <c r="N306" s="323"/>
      <c r="O306" s="323"/>
      <c r="P306" s="323"/>
      <c r="Q306" s="323"/>
    </row>
    <row r="307" spans="1:17" s="322" customFormat="1" ht="20.100000000000001" customHeight="1" x14ac:dyDescent="0.2">
      <c r="A307" s="321"/>
      <c r="B307" s="323"/>
      <c r="C307" s="323"/>
      <c r="D307" s="323"/>
      <c r="E307" s="323"/>
      <c r="F307" s="323"/>
      <c r="G307" s="323"/>
      <c r="H307" s="323"/>
      <c r="I307" s="323"/>
      <c r="J307" s="323"/>
      <c r="K307" s="323"/>
      <c r="L307" s="323"/>
      <c r="M307" s="651"/>
      <c r="N307" s="323"/>
      <c r="O307" s="323"/>
      <c r="P307" s="323"/>
      <c r="Q307" s="323"/>
    </row>
    <row r="308" spans="1:17" s="322" customFormat="1" ht="20.100000000000001" customHeight="1" x14ac:dyDescent="0.2">
      <c r="A308" s="321"/>
      <c r="B308" s="323"/>
      <c r="C308" s="323"/>
      <c r="D308" s="323"/>
      <c r="E308" s="323"/>
      <c r="F308" s="323"/>
      <c r="G308" s="323"/>
      <c r="H308" s="323"/>
      <c r="I308" s="323"/>
      <c r="J308" s="323"/>
      <c r="K308" s="323"/>
      <c r="L308" s="323"/>
      <c r="M308" s="651"/>
      <c r="N308" s="323"/>
      <c r="O308" s="323"/>
      <c r="P308" s="323"/>
      <c r="Q308" s="323"/>
    </row>
    <row r="309" spans="1:17" s="322" customFormat="1" ht="20.100000000000001" customHeight="1" x14ac:dyDescent="0.2">
      <c r="A309" s="321"/>
      <c r="B309" s="323"/>
      <c r="C309" s="323"/>
      <c r="D309" s="323"/>
      <c r="E309" s="323"/>
      <c r="F309" s="323"/>
      <c r="G309" s="323"/>
      <c r="H309" s="323"/>
      <c r="I309" s="323"/>
      <c r="J309" s="323"/>
      <c r="K309" s="323"/>
      <c r="L309" s="323"/>
      <c r="M309" s="651"/>
      <c r="N309" s="323"/>
      <c r="O309" s="323"/>
      <c r="P309" s="323"/>
      <c r="Q309" s="323"/>
    </row>
    <row r="310" spans="1:17" s="322" customFormat="1" ht="20.100000000000001" customHeight="1" x14ac:dyDescent="0.2">
      <c r="A310" s="321"/>
      <c r="B310" s="323"/>
      <c r="C310" s="323"/>
      <c r="D310" s="323"/>
      <c r="E310" s="323"/>
      <c r="F310" s="323"/>
      <c r="G310" s="323"/>
      <c r="H310" s="323"/>
      <c r="I310" s="323"/>
      <c r="J310" s="323"/>
      <c r="K310" s="323"/>
      <c r="L310" s="323"/>
      <c r="M310" s="651"/>
      <c r="N310" s="323"/>
      <c r="O310" s="323"/>
      <c r="P310" s="323"/>
      <c r="Q310" s="323"/>
    </row>
    <row r="311" spans="1:17" s="322" customFormat="1" ht="20.100000000000001" customHeight="1" x14ac:dyDescent="0.2">
      <c r="A311" s="321"/>
      <c r="B311" s="323"/>
      <c r="C311" s="323"/>
      <c r="D311" s="323"/>
      <c r="E311" s="323"/>
      <c r="F311" s="323"/>
      <c r="G311" s="323"/>
      <c r="H311" s="323"/>
      <c r="I311" s="323"/>
      <c r="J311" s="323"/>
      <c r="K311" s="323"/>
      <c r="L311" s="323"/>
      <c r="M311" s="651"/>
      <c r="N311" s="323"/>
      <c r="O311" s="323"/>
      <c r="P311" s="323"/>
      <c r="Q311" s="323"/>
    </row>
    <row r="312" spans="1:17" s="322" customFormat="1" ht="20.100000000000001" customHeight="1" x14ac:dyDescent="0.2">
      <c r="A312" s="321"/>
      <c r="B312" s="323"/>
      <c r="C312" s="323"/>
      <c r="D312" s="323"/>
      <c r="E312" s="323"/>
      <c r="F312" s="323"/>
      <c r="G312" s="323"/>
      <c r="H312" s="323"/>
      <c r="I312" s="323"/>
      <c r="J312" s="323"/>
      <c r="K312" s="323"/>
      <c r="L312" s="323"/>
      <c r="M312" s="651"/>
      <c r="N312" s="323"/>
      <c r="O312" s="323"/>
      <c r="P312" s="323"/>
      <c r="Q312" s="323"/>
    </row>
    <row r="313" spans="1:17" ht="20.100000000000001" customHeight="1" x14ac:dyDescent="0.4"/>
    <row r="314" spans="1:17" ht="9.9499999999999993" customHeight="1" x14ac:dyDescent="0.4"/>
    <row r="315" spans="1:17" ht="20.100000000000001" customHeight="1" x14ac:dyDescent="0.4"/>
    <row r="316" spans="1:17" ht="20.100000000000001" customHeight="1" x14ac:dyDescent="0.4"/>
    <row r="317" spans="1:17" ht="20.100000000000001" customHeight="1" x14ac:dyDescent="0.4"/>
    <row r="318" spans="1:17" s="322" customFormat="1" ht="20.100000000000001" customHeight="1" x14ac:dyDescent="0.2">
      <c r="A318" s="321"/>
      <c r="B318" s="323"/>
      <c r="C318" s="323"/>
      <c r="D318" s="323"/>
      <c r="E318" s="323"/>
      <c r="F318" s="323"/>
      <c r="G318" s="323"/>
      <c r="H318" s="323"/>
      <c r="I318" s="323"/>
      <c r="J318" s="323"/>
      <c r="K318" s="323"/>
      <c r="L318" s="323"/>
      <c r="M318" s="651"/>
      <c r="N318" s="323"/>
      <c r="O318" s="323"/>
      <c r="P318" s="323"/>
      <c r="Q318" s="323"/>
    </row>
    <row r="319" spans="1:17" s="322" customFormat="1" ht="20.100000000000001" customHeight="1" x14ac:dyDescent="0.2">
      <c r="A319" s="321"/>
      <c r="B319" s="323"/>
      <c r="C319" s="323"/>
      <c r="D319" s="323"/>
      <c r="E319" s="323"/>
      <c r="F319" s="323"/>
      <c r="G319" s="323"/>
      <c r="H319" s="323"/>
      <c r="I319" s="323"/>
      <c r="J319" s="323"/>
      <c r="K319" s="323"/>
      <c r="L319" s="323"/>
      <c r="M319" s="651"/>
      <c r="N319" s="323"/>
      <c r="O319" s="323"/>
      <c r="P319" s="323"/>
      <c r="Q319" s="323"/>
    </row>
    <row r="320" spans="1:17" s="322" customFormat="1" ht="20.100000000000001" customHeight="1" x14ac:dyDescent="0.2">
      <c r="A320" s="321"/>
      <c r="B320" s="323"/>
      <c r="C320" s="323"/>
      <c r="D320" s="323"/>
      <c r="E320" s="323"/>
      <c r="F320" s="323"/>
      <c r="G320" s="323"/>
      <c r="H320" s="323"/>
      <c r="I320" s="323"/>
      <c r="J320" s="323"/>
      <c r="K320" s="323"/>
      <c r="L320" s="323"/>
      <c r="M320" s="651"/>
      <c r="N320" s="323"/>
      <c r="O320" s="323"/>
      <c r="P320" s="323"/>
      <c r="Q320" s="323"/>
    </row>
    <row r="321" spans="1:17" s="322" customFormat="1" ht="20.100000000000001" customHeight="1" x14ac:dyDescent="0.2">
      <c r="A321" s="321"/>
      <c r="B321" s="323"/>
      <c r="C321" s="323"/>
      <c r="D321" s="323"/>
      <c r="E321" s="323"/>
      <c r="F321" s="323"/>
      <c r="G321" s="323"/>
      <c r="H321" s="323"/>
      <c r="I321" s="323"/>
      <c r="J321" s="323"/>
      <c r="K321" s="323"/>
      <c r="L321" s="323"/>
      <c r="M321" s="651"/>
      <c r="N321" s="323"/>
      <c r="O321" s="323"/>
      <c r="P321" s="323"/>
      <c r="Q321" s="323"/>
    </row>
    <row r="322" spans="1:17" s="322" customFormat="1" ht="20.100000000000001" customHeight="1" x14ac:dyDescent="0.2">
      <c r="A322" s="321"/>
      <c r="B322" s="323"/>
      <c r="C322" s="323"/>
      <c r="D322" s="323"/>
      <c r="E322" s="323"/>
      <c r="F322" s="323"/>
      <c r="G322" s="323"/>
      <c r="H322" s="323"/>
      <c r="I322" s="323"/>
      <c r="J322" s="323"/>
      <c r="K322" s="323"/>
      <c r="L322" s="323"/>
      <c r="M322" s="651"/>
      <c r="N322" s="323"/>
      <c r="O322" s="323"/>
      <c r="P322" s="323"/>
      <c r="Q322" s="323"/>
    </row>
    <row r="323" spans="1:17" s="322" customFormat="1" ht="20.100000000000001" customHeight="1" x14ac:dyDescent="0.2">
      <c r="A323" s="321"/>
      <c r="B323" s="323"/>
      <c r="C323" s="323"/>
      <c r="D323" s="323"/>
      <c r="E323" s="323"/>
      <c r="F323" s="323"/>
      <c r="G323" s="323"/>
      <c r="H323" s="323"/>
      <c r="I323" s="323"/>
      <c r="J323" s="323"/>
      <c r="K323" s="323"/>
      <c r="L323" s="323"/>
      <c r="M323" s="651"/>
      <c r="N323" s="323"/>
      <c r="O323" s="323"/>
      <c r="P323" s="323"/>
      <c r="Q323" s="323"/>
    </row>
    <row r="324" spans="1:17" s="322" customFormat="1" ht="20.100000000000001" customHeight="1" x14ac:dyDescent="0.2">
      <c r="A324" s="321"/>
      <c r="B324" s="323"/>
      <c r="C324" s="323"/>
      <c r="D324" s="323"/>
      <c r="E324" s="323"/>
      <c r="F324" s="323"/>
      <c r="G324" s="323"/>
      <c r="H324" s="323"/>
      <c r="I324" s="323"/>
      <c r="J324" s="323"/>
      <c r="K324" s="323"/>
      <c r="L324" s="323"/>
      <c r="M324" s="651"/>
      <c r="N324" s="323"/>
      <c r="O324" s="323"/>
      <c r="P324" s="323"/>
      <c r="Q324" s="323"/>
    </row>
    <row r="325" spans="1:17" s="322" customFormat="1" ht="20.100000000000001" customHeight="1" x14ac:dyDescent="0.2">
      <c r="A325" s="321"/>
      <c r="B325" s="323"/>
      <c r="C325" s="323"/>
      <c r="D325" s="323"/>
      <c r="E325" s="323"/>
      <c r="F325" s="323"/>
      <c r="G325" s="323"/>
      <c r="H325" s="323"/>
      <c r="I325" s="323"/>
      <c r="J325" s="323"/>
      <c r="K325" s="323"/>
      <c r="L325" s="323"/>
      <c r="M325" s="651"/>
      <c r="N325" s="323"/>
      <c r="O325" s="323"/>
      <c r="P325" s="323"/>
      <c r="Q325" s="323"/>
    </row>
    <row r="326" spans="1:17" s="322" customFormat="1" ht="20.100000000000001" customHeight="1" x14ac:dyDescent="0.2">
      <c r="A326" s="321"/>
      <c r="B326" s="323"/>
      <c r="C326" s="323"/>
      <c r="D326" s="323"/>
      <c r="E326" s="323"/>
      <c r="F326" s="323"/>
      <c r="G326" s="323"/>
      <c r="H326" s="323"/>
      <c r="I326" s="323"/>
      <c r="J326" s="323"/>
      <c r="K326" s="323"/>
      <c r="L326" s="323"/>
      <c r="M326" s="651"/>
      <c r="N326" s="323"/>
      <c r="O326" s="323"/>
      <c r="P326" s="323"/>
      <c r="Q326" s="323"/>
    </row>
    <row r="327" spans="1:17" s="322" customFormat="1" ht="20.100000000000001" customHeight="1" x14ac:dyDescent="0.2">
      <c r="A327" s="321"/>
      <c r="B327" s="323"/>
      <c r="C327" s="323"/>
      <c r="D327" s="323"/>
      <c r="E327" s="323"/>
      <c r="F327" s="323"/>
      <c r="G327" s="323"/>
      <c r="H327" s="323"/>
      <c r="I327" s="323"/>
      <c r="J327" s="323"/>
      <c r="K327" s="323"/>
      <c r="L327" s="323"/>
      <c r="M327" s="651"/>
      <c r="N327" s="323"/>
      <c r="O327" s="323"/>
      <c r="P327" s="323"/>
      <c r="Q327" s="323"/>
    </row>
    <row r="328" spans="1:17" s="322" customFormat="1" ht="20.100000000000001" customHeight="1" x14ac:dyDescent="0.2">
      <c r="A328" s="321"/>
      <c r="B328" s="323"/>
      <c r="C328" s="323"/>
      <c r="D328" s="323"/>
      <c r="E328" s="323"/>
      <c r="F328" s="323"/>
      <c r="G328" s="323"/>
      <c r="H328" s="323"/>
      <c r="I328" s="323"/>
      <c r="J328" s="323"/>
      <c r="K328" s="323"/>
      <c r="L328" s="323"/>
      <c r="M328" s="651"/>
      <c r="N328" s="323"/>
      <c r="O328" s="323"/>
      <c r="P328" s="323"/>
      <c r="Q328" s="323"/>
    </row>
    <row r="329" spans="1:17" s="322" customFormat="1" ht="20.100000000000001" customHeight="1" x14ac:dyDescent="0.2">
      <c r="A329" s="321"/>
      <c r="B329" s="323"/>
      <c r="C329" s="323"/>
      <c r="D329" s="323"/>
      <c r="E329" s="323"/>
      <c r="F329" s="323"/>
      <c r="G329" s="323"/>
      <c r="H329" s="323"/>
      <c r="I329" s="323"/>
      <c r="J329" s="323"/>
      <c r="K329" s="323"/>
      <c r="L329" s="323"/>
      <c r="M329" s="651"/>
      <c r="N329" s="323"/>
      <c r="O329" s="323"/>
      <c r="P329" s="323"/>
      <c r="Q329" s="323"/>
    </row>
    <row r="330" spans="1:17" s="322" customFormat="1" ht="20.100000000000001" customHeight="1" x14ac:dyDescent="0.2">
      <c r="A330" s="321"/>
      <c r="B330" s="323"/>
      <c r="C330" s="323"/>
      <c r="D330" s="323"/>
      <c r="E330" s="323"/>
      <c r="F330" s="323"/>
      <c r="G330" s="323"/>
      <c r="H330" s="323"/>
      <c r="I330" s="323"/>
      <c r="J330" s="323"/>
      <c r="K330" s="323"/>
      <c r="L330" s="323"/>
      <c r="M330" s="651"/>
      <c r="N330" s="323"/>
      <c r="O330" s="323"/>
      <c r="P330" s="323"/>
      <c r="Q330" s="323"/>
    </row>
    <row r="331" spans="1:17" s="322" customFormat="1" ht="20.100000000000001" customHeight="1" x14ac:dyDescent="0.2">
      <c r="A331" s="321"/>
      <c r="B331" s="323"/>
      <c r="C331" s="323"/>
      <c r="D331" s="323"/>
      <c r="E331" s="323"/>
      <c r="F331" s="323"/>
      <c r="G331" s="323"/>
      <c r="H331" s="323"/>
      <c r="I331" s="323"/>
      <c r="J331" s="323"/>
      <c r="K331" s="323"/>
      <c r="L331" s="323"/>
      <c r="M331" s="651"/>
      <c r="N331" s="323"/>
      <c r="O331" s="323"/>
      <c r="P331" s="323"/>
      <c r="Q331" s="323"/>
    </row>
    <row r="332" spans="1:17" s="322" customFormat="1" ht="20.100000000000001" customHeight="1" x14ac:dyDescent="0.2">
      <c r="A332" s="321"/>
      <c r="B332" s="323"/>
      <c r="C332" s="323"/>
      <c r="D332" s="323"/>
      <c r="E332" s="323"/>
      <c r="F332" s="323"/>
      <c r="G332" s="323"/>
      <c r="H332" s="323"/>
      <c r="I332" s="323"/>
      <c r="J332" s="323"/>
      <c r="K332" s="323"/>
      <c r="L332" s="323"/>
      <c r="M332" s="651"/>
      <c r="N332" s="323"/>
      <c r="O332" s="323"/>
      <c r="P332" s="323"/>
      <c r="Q332" s="323"/>
    </row>
    <row r="333" spans="1:17" s="322" customFormat="1" ht="20.100000000000001" customHeight="1" x14ac:dyDescent="0.2">
      <c r="A333" s="321"/>
      <c r="B333" s="323"/>
      <c r="C333" s="323"/>
      <c r="D333" s="323"/>
      <c r="E333" s="323"/>
      <c r="F333" s="323"/>
      <c r="G333" s="323"/>
      <c r="H333" s="323"/>
      <c r="I333" s="323"/>
      <c r="J333" s="323"/>
      <c r="K333" s="323"/>
      <c r="L333" s="323"/>
      <c r="M333" s="651"/>
      <c r="N333" s="323"/>
      <c r="O333" s="323"/>
      <c r="P333" s="323"/>
      <c r="Q333" s="323"/>
    </row>
    <row r="334" spans="1:17" s="322" customFormat="1" ht="20.100000000000001" customHeight="1" x14ac:dyDescent="0.2">
      <c r="A334" s="321"/>
      <c r="B334" s="323"/>
      <c r="C334" s="323"/>
      <c r="D334" s="323"/>
      <c r="E334" s="323"/>
      <c r="F334" s="323"/>
      <c r="G334" s="323"/>
      <c r="H334" s="323"/>
      <c r="I334" s="323"/>
      <c r="J334" s="323"/>
      <c r="K334" s="323"/>
      <c r="L334" s="323"/>
      <c r="M334" s="651"/>
      <c r="N334" s="323"/>
      <c r="O334" s="323"/>
      <c r="P334" s="323"/>
      <c r="Q334" s="323"/>
    </row>
    <row r="335" spans="1:17" s="322" customFormat="1" ht="20.100000000000001" customHeight="1" x14ac:dyDescent="0.2">
      <c r="A335" s="321"/>
      <c r="B335" s="323"/>
      <c r="C335" s="323"/>
      <c r="D335" s="323"/>
      <c r="E335" s="323"/>
      <c r="F335" s="323"/>
      <c r="G335" s="323"/>
      <c r="H335" s="323"/>
      <c r="I335" s="323"/>
      <c r="J335" s="323"/>
      <c r="K335" s="323"/>
      <c r="L335" s="323"/>
      <c r="M335" s="651"/>
      <c r="N335" s="323"/>
      <c r="O335" s="323"/>
      <c r="P335" s="323"/>
      <c r="Q335" s="323"/>
    </row>
    <row r="336" spans="1:17" s="322" customFormat="1" ht="20.100000000000001" customHeight="1" x14ac:dyDescent="0.2">
      <c r="A336" s="321"/>
      <c r="B336" s="323"/>
      <c r="C336" s="323"/>
      <c r="D336" s="323"/>
      <c r="E336" s="323"/>
      <c r="F336" s="323"/>
      <c r="G336" s="323"/>
      <c r="H336" s="323"/>
      <c r="I336" s="323"/>
      <c r="J336" s="323"/>
      <c r="K336" s="323"/>
      <c r="L336" s="323"/>
      <c r="M336" s="651"/>
      <c r="N336" s="323"/>
      <c r="O336" s="323"/>
      <c r="P336" s="323"/>
      <c r="Q336" s="323"/>
    </row>
    <row r="337" spans="1:17" s="322" customFormat="1" ht="20.100000000000001" customHeight="1" x14ac:dyDescent="0.2">
      <c r="A337" s="321"/>
      <c r="B337" s="323"/>
      <c r="C337" s="323"/>
      <c r="D337" s="323"/>
      <c r="E337" s="323"/>
      <c r="F337" s="323"/>
      <c r="G337" s="323"/>
      <c r="H337" s="323"/>
      <c r="I337" s="323"/>
      <c r="J337" s="323"/>
      <c r="K337" s="323"/>
      <c r="L337" s="323"/>
      <c r="M337" s="651"/>
      <c r="N337" s="323"/>
      <c r="O337" s="323"/>
      <c r="P337" s="323"/>
      <c r="Q337" s="323"/>
    </row>
    <row r="338" spans="1:17" s="322" customFormat="1" ht="20.100000000000001" customHeight="1" x14ac:dyDescent="0.2">
      <c r="A338" s="321"/>
      <c r="B338" s="323"/>
      <c r="C338" s="323"/>
      <c r="D338" s="323"/>
      <c r="E338" s="323"/>
      <c r="F338" s="323"/>
      <c r="G338" s="323"/>
      <c r="H338" s="323"/>
      <c r="I338" s="323"/>
      <c r="J338" s="323"/>
      <c r="K338" s="323"/>
      <c r="L338" s="323"/>
      <c r="M338" s="651"/>
      <c r="N338" s="323"/>
      <c r="O338" s="323"/>
      <c r="P338" s="323"/>
      <c r="Q338" s="323"/>
    </row>
    <row r="339" spans="1:17" s="322" customFormat="1" ht="20.100000000000001" customHeight="1" x14ac:dyDescent="0.2">
      <c r="A339" s="321"/>
      <c r="B339" s="323"/>
      <c r="C339" s="323"/>
      <c r="D339" s="323"/>
      <c r="E339" s="323"/>
      <c r="F339" s="323"/>
      <c r="G339" s="323"/>
      <c r="H339" s="323"/>
      <c r="I339" s="323"/>
      <c r="J339" s="323"/>
      <c r="K339" s="323"/>
      <c r="L339" s="323"/>
      <c r="M339" s="651"/>
      <c r="N339" s="323"/>
      <c r="O339" s="323"/>
      <c r="P339" s="323"/>
      <c r="Q339" s="323"/>
    </row>
    <row r="340" spans="1:17" s="322" customFormat="1" ht="20.100000000000001" customHeight="1" x14ac:dyDescent="0.2">
      <c r="A340" s="321"/>
      <c r="B340" s="323"/>
      <c r="C340" s="323"/>
      <c r="D340" s="323"/>
      <c r="E340" s="323"/>
      <c r="F340" s="323"/>
      <c r="G340" s="323"/>
      <c r="H340" s="323"/>
      <c r="I340" s="323"/>
      <c r="J340" s="323"/>
      <c r="K340" s="323"/>
      <c r="L340" s="323"/>
      <c r="M340" s="651"/>
      <c r="N340" s="323"/>
      <c r="O340" s="323"/>
      <c r="P340" s="323"/>
      <c r="Q340" s="323"/>
    </row>
    <row r="341" spans="1:17" s="322" customFormat="1" ht="20.100000000000001" customHeight="1" x14ac:dyDescent="0.2">
      <c r="A341" s="321"/>
      <c r="B341" s="323"/>
      <c r="C341" s="323"/>
      <c r="D341" s="323"/>
      <c r="E341" s="323"/>
      <c r="F341" s="323"/>
      <c r="G341" s="323"/>
      <c r="H341" s="323"/>
      <c r="I341" s="323"/>
      <c r="J341" s="323"/>
      <c r="K341" s="323"/>
      <c r="L341" s="323"/>
      <c r="M341" s="651"/>
      <c r="N341" s="323"/>
      <c r="O341" s="323"/>
      <c r="P341" s="323"/>
      <c r="Q341" s="323"/>
    </row>
    <row r="342" spans="1:17" s="322" customFormat="1" ht="20.100000000000001" customHeight="1" x14ac:dyDescent="0.2">
      <c r="A342" s="321"/>
      <c r="B342" s="323"/>
      <c r="C342" s="323"/>
      <c r="D342" s="323"/>
      <c r="E342" s="323"/>
      <c r="F342" s="323"/>
      <c r="G342" s="323"/>
      <c r="H342" s="323"/>
      <c r="I342" s="323"/>
      <c r="J342" s="323"/>
      <c r="K342" s="323"/>
      <c r="L342" s="323"/>
      <c r="M342" s="651"/>
      <c r="N342" s="323"/>
      <c r="O342" s="323"/>
      <c r="P342" s="323"/>
      <c r="Q342" s="323"/>
    </row>
    <row r="343" spans="1:17" s="322" customFormat="1" ht="20.100000000000001" customHeight="1" x14ac:dyDescent="0.2">
      <c r="A343" s="321"/>
      <c r="B343" s="323"/>
      <c r="C343" s="323"/>
      <c r="D343" s="323"/>
      <c r="E343" s="323"/>
      <c r="F343" s="323"/>
      <c r="G343" s="323"/>
      <c r="H343" s="323"/>
      <c r="I343" s="323"/>
      <c r="J343" s="323"/>
      <c r="K343" s="323"/>
      <c r="L343" s="323"/>
      <c r="M343" s="651"/>
      <c r="N343" s="323"/>
      <c r="O343" s="323"/>
      <c r="P343" s="323"/>
      <c r="Q343" s="323"/>
    </row>
    <row r="344" spans="1:17" s="322" customFormat="1" ht="20.100000000000001" customHeight="1" x14ac:dyDescent="0.2">
      <c r="A344" s="321"/>
      <c r="B344" s="323"/>
      <c r="C344" s="323"/>
      <c r="D344" s="323"/>
      <c r="E344" s="323"/>
      <c r="F344" s="323"/>
      <c r="G344" s="323"/>
      <c r="H344" s="323"/>
      <c r="I344" s="323"/>
      <c r="J344" s="323"/>
      <c r="K344" s="323"/>
      <c r="L344" s="323"/>
      <c r="M344" s="651"/>
      <c r="N344" s="323"/>
      <c r="O344" s="323"/>
      <c r="P344" s="323"/>
      <c r="Q344" s="323"/>
    </row>
    <row r="345" spans="1:17" s="322" customFormat="1" ht="20.100000000000001" customHeight="1" x14ac:dyDescent="0.2">
      <c r="A345" s="321"/>
      <c r="B345" s="323"/>
      <c r="C345" s="323"/>
      <c r="D345" s="323"/>
      <c r="E345" s="323"/>
      <c r="F345" s="323"/>
      <c r="G345" s="323"/>
      <c r="H345" s="323"/>
      <c r="I345" s="323"/>
      <c r="J345" s="323"/>
      <c r="K345" s="323"/>
      <c r="L345" s="323"/>
      <c r="M345" s="651"/>
      <c r="N345" s="323"/>
      <c r="O345" s="323"/>
      <c r="P345" s="323"/>
      <c r="Q345" s="323"/>
    </row>
    <row r="346" spans="1:17" s="322" customFormat="1" ht="20.100000000000001" customHeight="1" x14ac:dyDescent="0.2">
      <c r="A346" s="321"/>
      <c r="B346" s="323"/>
      <c r="C346" s="323"/>
      <c r="D346" s="323"/>
      <c r="E346" s="323"/>
      <c r="F346" s="323"/>
      <c r="G346" s="323"/>
      <c r="H346" s="323"/>
      <c r="I346" s="323"/>
      <c r="J346" s="323"/>
      <c r="K346" s="323"/>
      <c r="L346" s="323"/>
      <c r="M346" s="651"/>
      <c r="N346" s="323"/>
      <c r="O346" s="323"/>
      <c r="P346" s="323"/>
      <c r="Q346" s="323"/>
    </row>
    <row r="347" spans="1:17" s="322" customFormat="1" ht="20.100000000000001" customHeight="1" x14ac:dyDescent="0.2">
      <c r="A347" s="321"/>
      <c r="B347" s="323"/>
      <c r="C347" s="323"/>
      <c r="D347" s="323"/>
      <c r="E347" s="323"/>
      <c r="F347" s="323"/>
      <c r="G347" s="323"/>
      <c r="H347" s="323"/>
      <c r="I347" s="323"/>
      <c r="J347" s="323"/>
      <c r="K347" s="323"/>
      <c r="L347" s="323"/>
      <c r="M347" s="651"/>
      <c r="N347" s="323"/>
      <c r="O347" s="323"/>
      <c r="P347" s="323"/>
      <c r="Q347" s="323"/>
    </row>
    <row r="348" spans="1:17" s="322" customFormat="1" ht="20.100000000000001" customHeight="1" x14ac:dyDescent="0.2">
      <c r="A348" s="321"/>
      <c r="B348" s="323"/>
      <c r="C348" s="323"/>
      <c r="D348" s="323"/>
      <c r="E348" s="323"/>
      <c r="F348" s="323"/>
      <c r="G348" s="323"/>
      <c r="H348" s="323"/>
      <c r="I348" s="323"/>
      <c r="J348" s="323"/>
      <c r="K348" s="323"/>
      <c r="L348" s="323"/>
      <c r="M348" s="651"/>
      <c r="N348" s="323"/>
      <c r="O348" s="323"/>
      <c r="P348" s="323"/>
      <c r="Q348" s="323"/>
    </row>
    <row r="349" spans="1:17" s="322" customFormat="1" ht="20.100000000000001" customHeight="1" x14ac:dyDescent="0.2">
      <c r="A349" s="321"/>
      <c r="B349" s="323"/>
      <c r="C349" s="323"/>
      <c r="D349" s="323"/>
      <c r="E349" s="323"/>
      <c r="F349" s="323"/>
      <c r="G349" s="323"/>
      <c r="H349" s="323"/>
      <c r="I349" s="323"/>
      <c r="J349" s="323"/>
      <c r="K349" s="323"/>
      <c r="L349" s="323"/>
      <c r="M349" s="651"/>
      <c r="N349" s="323"/>
      <c r="O349" s="323"/>
      <c r="P349" s="323"/>
      <c r="Q349" s="323"/>
    </row>
    <row r="350" spans="1:17" s="322" customFormat="1" ht="20.100000000000001" customHeight="1" x14ac:dyDescent="0.2">
      <c r="A350" s="321"/>
      <c r="B350" s="323"/>
      <c r="C350" s="323"/>
      <c r="D350" s="323"/>
      <c r="E350" s="323"/>
      <c r="F350" s="323"/>
      <c r="G350" s="323"/>
      <c r="H350" s="323"/>
      <c r="I350" s="323"/>
      <c r="J350" s="323"/>
      <c r="K350" s="323"/>
      <c r="L350" s="323"/>
      <c r="M350" s="651"/>
      <c r="N350" s="323"/>
      <c r="O350" s="323"/>
      <c r="P350" s="323"/>
      <c r="Q350" s="323"/>
    </row>
    <row r="351" spans="1:17" s="322" customFormat="1" ht="20.100000000000001" customHeight="1" x14ac:dyDescent="0.2">
      <c r="A351" s="321"/>
      <c r="B351" s="323"/>
      <c r="C351" s="323"/>
      <c r="D351" s="323"/>
      <c r="E351" s="323"/>
      <c r="F351" s="323"/>
      <c r="G351" s="323"/>
      <c r="H351" s="323"/>
      <c r="I351" s="323"/>
      <c r="J351" s="323"/>
      <c r="K351" s="323"/>
      <c r="L351" s="323"/>
      <c r="M351" s="651"/>
      <c r="N351" s="323"/>
      <c r="O351" s="323"/>
      <c r="P351" s="323"/>
      <c r="Q351" s="323"/>
    </row>
    <row r="352" spans="1:17" s="322" customFormat="1" ht="20.100000000000001" customHeight="1" x14ac:dyDescent="0.2">
      <c r="A352" s="321"/>
      <c r="B352" s="323"/>
      <c r="C352" s="323"/>
      <c r="D352" s="323"/>
      <c r="E352" s="323"/>
      <c r="F352" s="323"/>
      <c r="G352" s="323"/>
      <c r="H352" s="323"/>
      <c r="I352" s="323"/>
      <c r="J352" s="323"/>
      <c r="K352" s="323"/>
      <c r="L352" s="323"/>
      <c r="M352" s="651"/>
      <c r="N352" s="323"/>
      <c r="O352" s="323"/>
      <c r="P352" s="323"/>
      <c r="Q352" s="323"/>
    </row>
    <row r="353" spans="1:17" s="322" customFormat="1" ht="20.100000000000001" customHeight="1" x14ac:dyDescent="0.2">
      <c r="A353" s="321"/>
      <c r="B353" s="323"/>
      <c r="C353" s="323"/>
      <c r="D353" s="323"/>
      <c r="E353" s="323"/>
      <c r="F353" s="323"/>
      <c r="G353" s="323"/>
      <c r="H353" s="323"/>
      <c r="I353" s="323"/>
      <c r="J353" s="323"/>
      <c r="K353" s="323"/>
      <c r="L353" s="323"/>
      <c r="M353" s="651"/>
      <c r="N353" s="323"/>
      <c r="O353" s="323"/>
      <c r="P353" s="323"/>
      <c r="Q353" s="323"/>
    </row>
    <row r="354" spans="1:17" s="322" customFormat="1" ht="20.100000000000001" customHeight="1" x14ac:dyDescent="0.2">
      <c r="A354" s="321"/>
      <c r="B354" s="323"/>
      <c r="C354" s="323"/>
      <c r="D354" s="323"/>
      <c r="E354" s="323"/>
      <c r="F354" s="323"/>
      <c r="G354" s="323"/>
      <c r="H354" s="323"/>
      <c r="I354" s="323"/>
      <c r="J354" s="323"/>
      <c r="K354" s="323"/>
      <c r="L354" s="323"/>
      <c r="M354" s="651"/>
      <c r="N354" s="323"/>
      <c r="O354" s="323"/>
      <c r="P354" s="323"/>
      <c r="Q354" s="323"/>
    </row>
    <row r="355" spans="1:17" ht="20.100000000000001" customHeight="1" x14ac:dyDescent="0.4"/>
    <row r="356" spans="1:17" ht="9.9499999999999993" customHeight="1" x14ac:dyDescent="0.4"/>
    <row r="357" spans="1:17" ht="20.100000000000001" customHeight="1" x14ac:dyDescent="0.4"/>
    <row r="358" spans="1:17" ht="20.100000000000001" customHeight="1" x14ac:dyDescent="0.4"/>
    <row r="359" spans="1:17" ht="20.100000000000001" customHeight="1" x14ac:dyDescent="0.4"/>
    <row r="360" spans="1:17" s="322" customFormat="1" ht="20.100000000000001" customHeight="1" x14ac:dyDescent="0.2">
      <c r="A360" s="321"/>
      <c r="B360" s="323"/>
      <c r="C360" s="323"/>
      <c r="D360" s="323"/>
      <c r="E360" s="323"/>
      <c r="F360" s="323"/>
      <c r="G360" s="323"/>
      <c r="H360" s="323"/>
      <c r="I360" s="323"/>
      <c r="J360" s="323"/>
      <c r="K360" s="323"/>
      <c r="L360" s="323"/>
      <c r="M360" s="651"/>
      <c r="N360" s="323"/>
      <c r="O360" s="323"/>
      <c r="P360" s="323"/>
      <c r="Q360" s="323"/>
    </row>
    <row r="361" spans="1:17" s="322" customFormat="1" ht="20.100000000000001" customHeight="1" x14ac:dyDescent="0.2">
      <c r="A361" s="321"/>
      <c r="B361" s="323"/>
      <c r="C361" s="323"/>
      <c r="D361" s="323"/>
      <c r="E361" s="323"/>
      <c r="F361" s="323"/>
      <c r="G361" s="323"/>
      <c r="H361" s="323"/>
      <c r="I361" s="323"/>
      <c r="J361" s="323"/>
      <c r="K361" s="323"/>
      <c r="L361" s="323"/>
      <c r="M361" s="651"/>
      <c r="N361" s="323"/>
      <c r="O361" s="323"/>
      <c r="P361" s="323"/>
      <c r="Q361" s="323"/>
    </row>
    <row r="362" spans="1:17" s="322" customFormat="1" ht="20.100000000000001" customHeight="1" x14ac:dyDescent="0.2">
      <c r="A362" s="321"/>
      <c r="B362" s="323"/>
      <c r="C362" s="323"/>
      <c r="D362" s="323"/>
      <c r="E362" s="323"/>
      <c r="F362" s="323"/>
      <c r="G362" s="323"/>
      <c r="H362" s="323"/>
      <c r="I362" s="323"/>
      <c r="J362" s="323"/>
      <c r="K362" s="323"/>
      <c r="L362" s="323"/>
      <c r="M362" s="651"/>
      <c r="N362" s="323"/>
      <c r="O362" s="323"/>
      <c r="P362" s="323"/>
      <c r="Q362" s="323"/>
    </row>
    <row r="363" spans="1:17" s="322" customFormat="1" ht="20.100000000000001" customHeight="1" x14ac:dyDescent="0.2">
      <c r="A363" s="321"/>
      <c r="B363" s="323"/>
      <c r="C363" s="323"/>
      <c r="D363" s="323"/>
      <c r="E363" s="323"/>
      <c r="F363" s="323"/>
      <c r="G363" s="323"/>
      <c r="H363" s="323"/>
      <c r="I363" s="323"/>
      <c r="J363" s="323"/>
      <c r="K363" s="323"/>
      <c r="L363" s="323"/>
      <c r="M363" s="651"/>
      <c r="N363" s="323"/>
      <c r="O363" s="323"/>
      <c r="P363" s="323"/>
      <c r="Q363" s="323"/>
    </row>
    <row r="364" spans="1:17" s="322" customFormat="1" ht="20.100000000000001" customHeight="1" x14ac:dyDescent="0.2">
      <c r="A364" s="321"/>
      <c r="B364" s="323"/>
      <c r="C364" s="323"/>
      <c r="D364" s="323"/>
      <c r="E364" s="323"/>
      <c r="F364" s="323"/>
      <c r="G364" s="323"/>
      <c r="H364" s="323"/>
      <c r="I364" s="323"/>
      <c r="J364" s="323"/>
      <c r="K364" s="323"/>
      <c r="L364" s="323"/>
      <c r="M364" s="651"/>
      <c r="N364" s="323"/>
      <c r="O364" s="323"/>
      <c r="P364" s="323"/>
      <c r="Q364" s="323"/>
    </row>
    <row r="365" spans="1:17" s="322" customFormat="1" ht="20.100000000000001" customHeight="1" x14ac:dyDescent="0.2">
      <c r="A365" s="321"/>
      <c r="B365" s="323"/>
      <c r="C365" s="323"/>
      <c r="D365" s="323"/>
      <c r="E365" s="323"/>
      <c r="F365" s="323"/>
      <c r="G365" s="323"/>
      <c r="H365" s="323"/>
      <c r="I365" s="323"/>
      <c r="J365" s="323"/>
      <c r="K365" s="323"/>
      <c r="L365" s="323"/>
      <c r="M365" s="651"/>
      <c r="N365" s="323"/>
      <c r="O365" s="323"/>
      <c r="P365" s="323"/>
      <c r="Q365" s="323"/>
    </row>
    <row r="366" spans="1:17" s="322" customFormat="1" ht="20.100000000000001" customHeight="1" x14ac:dyDescent="0.2">
      <c r="A366" s="321"/>
      <c r="B366" s="323"/>
      <c r="C366" s="323"/>
      <c r="D366" s="323"/>
      <c r="E366" s="323"/>
      <c r="F366" s="323"/>
      <c r="G366" s="323"/>
      <c r="H366" s="323"/>
      <c r="I366" s="323"/>
      <c r="J366" s="323"/>
      <c r="K366" s="323"/>
      <c r="L366" s="323"/>
      <c r="M366" s="651"/>
      <c r="N366" s="323"/>
      <c r="O366" s="323"/>
      <c r="P366" s="323"/>
      <c r="Q366" s="323"/>
    </row>
    <row r="367" spans="1:17" s="322" customFormat="1" ht="20.100000000000001" customHeight="1" x14ac:dyDescent="0.2">
      <c r="A367" s="321"/>
      <c r="B367" s="323"/>
      <c r="C367" s="323"/>
      <c r="D367" s="323"/>
      <c r="E367" s="323"/>
      <c r="F367" s="323"/>
      <c r="G367" s="323"/>
      <c r="H367" s="323"/>
      <c r="I367" s="323"/>
      <c r="J367" s="323"/>
      <c r="K367" s="323"/>
      <c r="L367" s="323"/>
      <c r="M367" s="651"/>
      <c r="N367" s="323"/>
      <c r="O367" s="323"/>
      <c r="P367" s="323"/>
      <c r="Q367" s="323"/>
    </row>
    <row r="368" spans="1:17" s="322" customFormat="1" ht="20.100000000000001" customHeight="1" x14ac:dyDescent="0.2">
      <c r="A368" s="321"/>
      <c r="B368" s="323"/>
      <c r="C368" s="323"/>
      <c r="D368" s="323"/>
      <c r="E368" s="323"/>
      <c r="F368" s="323"/>
      <c r="G368" s="323"/>
      <c r="H368" s="323"/>
      <c r="I368" s="323"/>
      <c r="J368" s="323"/>
      <c r="K368" s="323"/>
      <c r="L368" s="323"/>
      <c r="M368" s="651"/>
      <c r="N368" s="323"/>
      <c r="O368" s="323"/>
      <c r="P368" s="323"/>
      <c r="Q368" s="323"/>
    </row>
    <row r="369" spans="1:17" s="322" customFormat="1" ht="20.100000000000001" customHeight="1" x14ac:dyDescent="0.2">
      <c r="A369" s="321"/>
      <c r="B369" s="323"/>
      <c r="C369" s="323"/>
      <c r="D369" s="323"/>
      <c r="E369" s="323"/>
      <c r="F369" s="323"/>
      <c r="G369" s="323"/>
      <c r="H369" s="323"/>
      <c r="I369" s="323"/>
      <c r="J369" s="323"/>
      <c r="K369" s="323"/>
      <c r="L369" s="323"/>
      <c r="M369" s="651"/>
      <c r="N369" s="323"/>
      <c r="O369" s="323"/>
      <c r="P369" s="323"/>
      <c r="Q369" s="323"/>
    </row>
    <row r="370" spans="1:17" s="322" customFormat="1" ht="20.100000000000001" customHeight="1" x14ac:dyDescent="0.2">
      <c r="A370" s="321"/>
      <c r="B370" s="323"/>
      <c r="C370" s="323"/>
      <c r="D370" s="323"/>
      <c r="E370" s="323"/>
      <c r="F370" s="323"/>
      <c r="G370" s="323"/>
      <c r="H370" s="323"/>
      <c r="I370" s="323"/>
      <c r="J370" s="323"/>
      <c r="K370" s="323"/>
      <c r="L370" s="323"/>
      <c r="M370" s="651"/>
      <c r="N370" s="323"/>
      <c r="O370" s="323"/>
      <c r="P370" s="323"/>
      <c r="Q370" s="323"/>
    </row>
    <row r="371" spans="1:17" s="322" customFormat="1" ht="20.100000000000001" customHeight="1" x14ac:dyDescent="0.2">
      <c r="A371" s="321"/>
      <c r="B371" s="323"/>
      <c r="C371" s="323"/>
      <c r="D371" s="323"/>
      <c r="E371" s="323"/>
      <c r="F371" s="323"/>
      <c r="G371" s="323"/>
      <c r="H371" s="323"/>
      <c r="I371" s="323"/>
      <c r="J371" s="323"/>
      <c r="K371" s="323"/>
      <c r="L371" s="323"/>
      <c r="M371" s="651"/>
      <c r="N371" s="323"/>
      <c r="O371" s="323"/>
      <c r="P371" s="323"/>
      <c r="Q371" s="323"/>
    </row>
    <row r="372" spans="1:17" s="322" customFormat="1" ht="20.100000000000001" customHeight="1" x14ac:dyDescent="0.2">
      <c r="A372" s="321"/>
      <c r="B372" s="323"/>
      <c r="C372" s="323"/>
      <c r="D372" s="323"/>
      <c r="E372" s="323"/>
      <c r="F372" s="323"/>
      <c r="G372" s="323"/>
      <c r="H372" s="323"/>
      <c r="I372" s="323"/>
      <c r="J372" s="323"/>
      <c r="K372" s="323"/>
      <c r="L372" s="323"/>
      <c r="M372" s="651"/>
      <c r="N372" s="323"/>
      <c r="O372" s="323"/>
      <c r="P372" s="323"/>
      <c r="Q372" s="323"/>
    </row>
    <row r="373" spans="1:17" s="322" customFormat="1" ht="20.100000000000001" customHeight="1" x14ac:dyDescent="0.2">
      <c r="A373" s="321"/>
      <c r="B373" s="323"/>
      <c r="C373" s="323"/>
      <c r="D373" s="323"/>
      <c r="E373" s="323"/>
      <c r="F373" s="323"/>
      <c r="G373" s="323"/>
      <c r="H373" s="323"/>
      <c r="I373" s="323"/>
      <c r="J373" s="323"/>
      <c r="K373" s="323"/>
      <c r="L373" s="323"/>
      <c r="M373" s="651"/>
      <c r="N373" s="323"/>
      <c r="O373" s="323"/>
      <c r="P373" s="323"/>
      <c r="Q373" s="323"/>
    </row>
    <row r="374" spans="1:17" s="322" customFormat="1" ht="20.100000000000001" customHeight="1" x14ac:dyDescent="0.2">
      <c r="A374" s="321"/>
      <c r="B374" s="323"/>
      <c r="C374" s="323"/>
      <c r="D374" s="323"/>
      <c r="E374" s="323"/>
      <c r="F374" s="323"/>
      <c r="G374" s="323"/>
      <c r="H374" s="323"/>
      <c r="I374" s="323"/>
      <c r="J374" s="323"/>
      <c r="K374" s="323"/>
      <c r="L374" s="323"/>
      <c r="M374" s="651"/>
      <c r="N374" s="323"/>
      <c r="O374" s="323"/>
      <c r="P374" s="323"/>
      <c r="Q374" s="323"/>
    </row>
    <row r="375" spans="1:17" s="322" customFormat="1" ht="20.100000000000001" customHeight="1" x14ac:dyDescent="0.2">
      <c r="A375" s="321"/>
      <c r="B375" s="323"/>
      <c r="C375" s="323"/>
      <c r="D375" s="323"/>
      <c r="E375" s="323"/>
      <c r="F375" s="323"/>
      <c r="G375" s="323"/>
      <c r="H375" s="323"/>
      <c r="I375" s="323"/>
      <c r="J375" s="323"/>
      <c r="K375" s="323"/>
      <c r="L375" s="323"/>
      <c r="M375" s="651"/>
      <c r="N375" s="323"/>
      <c r="O375" s="323"/>
      <c r="P375" s="323"/>
      <c r="Q375" s="323"/>
    </row>
    <row r="376" spans="1:17" s="322" customFormat="1" ht="20.100000000000001" customHeight="1" x14ac:dyDescent="0.2">
      <c r="A376" s="321"/>
      <c r="B376" s="323"/>
      <c r="C376" s="323"/>
      <c r="D376" s="323"/>
      <c r="E376" s="323"/>
      <c r="F376" s="323"/>
      <c r="G376" s="323"/>
      <c r="H376" s="323"/>
      <c r="I376" s="323"/>
      <c r="J376" s="323"/>
      <c r="K376" s="323"/>
      <c r="L376" s="323"/>
      <c r="M376" s="651"/>
      <c r="N376" s="323"/>
      <c r="O376" s="323"/>
      <c r="P376" s="323"/>
      <c r="Q376" s="323"/>
    </row>
    <row r="377" spans="1:17" s="322" customFormat="1" ht="20.100000000000001" customHeight="1" x14ac:dyDescent="0.2">
      <c r="A377" s="321"/>
      <c r="B377" s="323"/>
      <c r="C377" s="323"/>
      <c r="D377" s="323"/>
      <c r="E377" s="323"/>
      <c r="F377" s="323"/>
      <c r="G377" s="323"/>
      <c r="H377" s="323"/>
      <c r="I377" s="323"/>
      <c r="J377" s="323"/>
      <c r="K377" s="323"/>
      <c r="L377" s="323"/>
      <c r="M377" s="651"/>
      <c r="N377" s="323"/>
      <c r="O377" s="323"/>
      <c r="P377" s="323"/>
      <c r="Q377" s="323"/>
    </row>
    <row r="378" spans="1:17" s="322" customFormat="1" ht="20.100000000000001" customHeight="1" x14ac:dyDescent="0.2">
      <c r="A378" s="321"/>
      <c r="B378" s="323"/>
      <c r="C378" s="323"/>
      <c r="D378" s="323"/>
      <c r="E378" s="323"/>
      <c r="F378" s="323"/>
      <c r="G378" s="323"/>
      <c r="H378" s="323"/>
      <c r="I378" s="323"/>
      <c r="J378" s="323"/>
      <c r="K378" s="323"/>
      <c r="L378" s="323"/>
      <c r="M378" s="651"/>
      <c r="N378" s="323"/>
      <c r="O378" s="323"/>
      <c r="P378" s="323"/>
      <c r="Q378" s="323"/>
    </row>
    <row r="379" spans="1:17" s="322" customFormat="1" ht="20.100000000000001" customHeight="1" x14ac:dyDescent="0.2">
      <c r="A379" s="321"/>
      <c r="B379" s="323"/>
      <c r="C379" s="323"/>
      <c r="D379" s="323"/>
      <c r="E379" s="323"/>
      <c r="F379" s="323"/>
      <c r="G379" s="323"/>
      <c r="H379" s="323"/>
      <c r="I379" s="323"/>
      <c r="J379" s="323"/>
      <c r="K379" s="323"/>
      <c r="L379" s="323"/>
      <c r="M379" s="651"/>
      <c r="N379" s="323"/>
      <c r="O379" s="323"/>
      <c r="P379" s="323"/>
      <c r="Q379" s="323"/>
    </row>
    <row r="380" spans="1:17" s="322" customFormat="1" ht="20.100000000000001" customHeight="1" x14ac:dyDescent="0.2">
      <c r="A380" s="321"/>
      <c r="B380" s="323"/>
      <c r="C380" s="323"/>
      <c r="D380" s="323"/>
      <c r="E380" s="323"/>
      <c r="F380" s="323"/>
      <c r="G380" s="323"/>
      <c r="H380" s="323"/>
      <c r="I380" s="323"/>
      <c r="J380" s="323"/>
      <c r="K380" s="323"/>
      <c r="L380" s="323"/>
      <c r="M380" s="651"/>
      <c r="N380" s="323"/>
      <c r="O380" s="323"/>
      <c r="P380" s="323"/>
      <c r="Q380" s="323"/>
    </row>
    <row r="381" spans="1:17" s="322" customFormat="1" ht="20.100000000000001" customHeight="1" x14ac:dyDescent="0.2">
      <c r="A381" s="321"/>
      <c r="B381" s="323"/>
      <c r="C381" s="323"/>
      <c r="D381" s="323"/>
      <c r="E381" s="323"/>
      <c r="F381" s="323"/>
      <c r="G381" s="323"/>
      <c r="H381" s="323"/>
      <c r="I381" s="323"/>
      <c r="J381" s="323"/>
      <c r="K381" s="323"/>
      <c r="L381" s="323"/>
      <c r="M381" s="651"/>
      <c r="N381" s="323"/>
      <c r="O381" s="323"/>
      <c r="P381" s="323"/>
      <c r="Q381" s="323"/>
    </row>
    <row r="382" spans="1:17" s="322" customFormat="1" ht="20.100000000000001" customHeight="1" x14ac:dyDescent="0.2">
      <c r="A382" s="321"/>
      <c r="B382" s="323"/>
      <c r="C382" s="323"/>
      <c r="D382" s="323"/>
      <c r="E382" s="323"/>
      <c r="F382" s="323"/>
      <c r="G382" s="323"/>
      <c r="H382" s="323"/>
      <c r="I382" s="323"/>
      <c r="J382" s="323"/>
      <c r="K382" s="323"/>
      <c r="L382" s="323"/>
      <c r="M382" s="651"/>
      <c r="N382" s="323"/>
      <c r="O382" s="323"/>
      <c r="P382" s="323"/>
      <c r="Q382" s="323"/>
    </row>
    <row r="383" spans="1:17" s="322" customFormat="1" ht="20.100000000000001" customHeight="1" x14ac:dyDescent="0.2">
      <c r="A383" s="321"/>
      <c r="B383" s="323"/>
      <c r="C383" s="323"/>
      <c r="D383" s="323"/>
      <c r="E383" s="323"/>
      <c r="F383" s="323"/>
      <c r="G383" s="323"/>
      <c r="H383" s="323"/>
      <c r="I383" s="323"/>
      <c r="J383" s="323"/>
      <c r="K383" s="323"/>
      <c r="L383" s="323"/>
      <c r="M383" s="651"/>
      <c r="N383" s="323"/>
      <c r="O383" s="323"/>
      <c r="P383" s="323"/>
      <c r="Q383" s="323"/>
    </row>
    <row r="384" spans="1:17" s="322" customFormat="1" ht="20.100000000000001" customHeight="1" x14ac:dyDescent="0.2">
      <c r="A384" s="321"/>
      <c r="B384" s="323"/>
      <c r="C384" s="323"/>
      <c r="D384" s="323"/>
      <c r="E384" s="323"/>
      <c r="F384" s="323"/>
      <c r="G384" s="323"/>
      <c r="H384" s="323"/>
      <c r="I384" s="323"/>
      <c r="J384" s="323"/>
      <c r="K384" s="323"/>
      <c r="L384" s="323"/>
      <c r="M384" s="651"/>
      <c r="N384" s="323"/>
      <c r="O384" s="323"/>
      <c r="P384" s="323"/>
      <c r="Q384" s="323"/>
    </row>
    <row r="385" spans="1:17" s="322" customFormat="1" ht="20.100000000000001" customHeight="1" x14ac:dyDescent="0.2">
      <c r="A385" s="321"/>
      <c r="B385" s="323"/>
      <c r="C385" s="323"/>
      <c r="D385" s="323"/>
      <c r="E385" s="323"/>
      <c r="F385" s="323"/>
      <c r="G385" s="323"/>
      <c r="H385" s="323"/>
      <c r="I385" s="323"/>
      <c r="J385" s="323"/>
      <c r="K385" s="323"/>
      <c r="L385" s="323"/>
      <c r="M385" s="651"/>
      <c r="N385" s="323"/>
      <c r="O385" s="323"/>
      <c r="P385" s="323"/>
      <c r="Q385" s="323"/>
    </row>
    <row r="386" spans="1:17" s="322" customFormat="1" ht="20.100000000000001" customHeight="1" x14ac:dyDescent="0.2">
      <c r="A386" s="321"/>
      <c r="B386" s="323"/>
      <c r="C386" s="323"/>
      <c r="D386" s="323"/>
      <c r="E386" s="323"/>
      <c r="F386" s="323"/>
      <c r="G386" s="323"/>
      <c r="H386" s="323"/>
      <c r="I386" s="323"/>
      <c r="J386" s="323"/>
      <c r="K386" s="323"/>
      <c r="L386" s="323"/>
      <c r="M386" s="651"/>
      <c r="N386" s="323"/>
      <c r="O386" s="323"/>
      <c r="P386" s="323"/>
      <c r="Q386" s="323"/>
    </row>
    <row r="387" spans="1:17" s="322" customFormat="1" ht="20.100000000000001" customHeight="1" x14ac:dyDescent="0.2">
      <c r="A387" s="321"/>
      <c r="B387" s="323"/>
      <c r="C387" s="323"/>
      <c r="D387" s="323"/>
      <c r="E387" s="323"/>
      <c r="F387" s="323"/>
      <c r="G387" s="323"/>
      <c r="H387" s="323"/>
      <c r="I387" s="323"/>
      <c r="J387" s="323"/>
      <c r="K387" s="323"/>
      <c r="L387" s="323"/>
      <c r="M387" s="651"/>
      <c r="N387" s="323"/>
      <c r="O387" s="323"/>
      <c r="P387" s="323"/>
      <c r="Q387" s="323"/>
    </row>
    <row r="388" spans="1:17" s="322" customFormat="1" ht="20.100000000000001" customHeight="1" x14ac:dyDescent="0.2">
      <c r="A388" s="321"/>
      <c r="B388" s="323"/>
      <c r="C388" s="323"/>
      <c r="D388" s="323"/>
      <c r="E388" s="323"/>
      <c r="F388" s="323"/>
      <c r="G388" s="323"/>
      <c r="H388" s="323"/>
      <c r="I388" s="323"/>
      <c r="J388" s="323"/>
      <c r="K388" s="323"/>
      <c r="L388" s="323"/>
      <c r="M388" s="651"/>
      <c r="N388" s="323"/>
      <c r="O388" s="323"/>
      <c r="P388" s="323"/>
      <c r="Q388" s="323"/>
    </row>
    <row r="389" spans="1:17" s="322" customFormat="1" ht="20.100000000000001" customHeight="1" x14ac:dyDescent="0.2">
      <c r="A389" s="321"/>
      <c r="B389" s="323"/>
      <c r="C389" s="323"/>
      <c r="D389" s="323"/>
      <c r="E389" s="323"/>
      <c r="F389" s="323"/>
      <c r="G389" s="323"/>
      <c r="H389" s="323"/>
      <c r="I389" s="323"/>
      <c r="J389" s="323"/>
      <c r="K389" s="323"/>
      <c r="L389" s="323"/>
      <c r="M389" s="651"/>
      <c r="N389" s="323"/>
      <c r="O389" s="323"/>
      <c r="P389" s="323"/>
      <c r="Q389" s="323"/>
    </row>
    <row r="390" spans="1:17" s="322" customFormat="1" ht="20.100000000000001" customHeight="1" x14ac:dyDescent="0.2">
      <c r="A390" s="321"/>
      <c r="B390" s="323"/>
      <c r="C390" s="323"/>
      <c r="D390" s="323"/>
      <c r="E390" s="323"/>
      <c r="F390" s="323"/>
      <c r="G390" s="323"/>
      <c r="H390" s="323"/>
      <c r="I390" s="323"/>
      <c r="J390" s="323"/>
      <c r="K390" s="323"/>
      <c r="L390" s="323"/>
      <c r="M390" s="651"/>
      <c r="N390" s="323"/>
      <c r="O390" s="323"/>
      <c r="P390" s="323"/>
      <c r="Q390" s="323"/>
    </row>
    <row r="391" spans="1:17" s="322" customFormat="1" ht="20.100000000000001" customHeight="1" x14ac:dyDescent="0.2">
      <c r="A391" s="321"/>
      <c r="B391" s="323"/>
      <c r="C391" s="323"/>
      <c r="D391" s="323"/>
      <c r="E391" s="323"/>
      <c r="F391" s="323"/>
      <c r="G391" s="323"/>
      <c r="H391" s="323"/>
      <c r="I391" s="323"/>
      <c r="J391" s="323"/>
      <c r="K391" s="323"/>
      <c r="L391" s="323"/>
      <c r="M391" s="651"/>
      <c r="N391" s="323"/>
      <c r="O391" s="323"/>
      <c r="P391" s="323"/>
      <c r="Q391" s="323"/>
    </row>
    <row r="392" spans="1:17" s="322" customFormat="1" ht="20.100000000000001" customHeight="1" x14ac:dyDescent="0.2">
      <c r="A392" s="321"/>
      <c r="B392" s="323"/>
      <c r="C392" s="323"/>
      <c r="D392" s="323"/>
      <c r="E392" s="323"/>
      <c r="F392" s="323"/>
      <c r="G392" s="323"/>
      <c r="H392" s="323"/>
      <c r="I392" s="323"/>
      <c r="J392" s="323"/>
      <c r="K392" s="323"/>
      <c r="L392" s="323"/>
      <c r="M392" s="651"/>
      <c r="N392" s="323"/>
      <c r="O392" s="323"/>
      <c r="P392" s="323"/>
      <c r="Q392" s="323"/>
    </row>
    <row r="393" spans="1:17" s="322" customFormat="1" ht="20.100000000000001" customHeight="1" x14ac:dyDescent="0.2">
      <c r="A393" s="321"/>
      <c r="B393" s="323"/>
      <c r="C393" s="323"/>
      <c r="D393" s="323"/>
      <c r="E393" s="323"/>
      <c r="F393" s="323"/>
      <c r="G393" s="323"/>
      <c r="H393" s="323"/>
      <c r="I393" s="323"/>
      <c r="J393" s="323"/>
      <c r="K393" s="323"/>
      <c r="L393" s="323"/>
      <c r="M393" s="651"/>
      <c r="N393" s="323"/>
      <c r="O393" s="323"/>
      <c r="P393" s="323"/>
      <c r="Q393" s="323"/>
    </row>
    <row r="394" spans="1:17" s="322" customFormat="1" ht="20.100000000000001" customHeight="1" x14ac:dyDescent="0.2">
      <c r="A394" s="321"/>
      <c r="B394" s="323"/>
      <c r="C394" s="323"/>
      <c r="D394" s="323"/>
      <c r="E394" s="323"/>
      <c r="F394" s="323"/>
      <c r="G394" s="323"/>
      <c r="H394" s="323"/>
      <c r="I394" s="323"/>
      <c r="J394" s="323"/>
      <c r="K394" s="323"/>
      <c r="L394" s="323"/>
      <c r="M394" s="651"/>
      <c r="N394" s="323"/>
      <c r="O394" s="323"/>
      <c r="P394" s="323"/>
      <c r="Q394" s="323"/>
    </row>
    <row r="395" spans="1:17" s="322" customFormat="1" ht="20.100000000000001" customHeight="1" x14ac:dyDescent="0.2">
      <c r="A395" s="321"/>
      <c r="B395" s="323"/>
      <c r="C395" s="323"/>
      <c r="D395" s="323"/>
      <c r="E395" s="323"/>
      <c r="F395" s="323"/>
      <c r="G395" s="323"/>
      <c r="H395" s="323"/>
      <c r="I395" s="323"/>
      <c r="J395" s="323"/>
      <c r="K395" s="323"/>
      <c r="L395" s="323"/>
      <c r="M395" s="651"/>
      <c r="N395" s="323"/>
      <c r="O395" s="323"/>
      <c r="P395" s="323"/>
      <c r="Q395" s="323"/>
    </row>
    <row r="396" spans="1:17" s="322" customFormat="1" ht="20.100000000000001" customHeight="1" x14ac:dyDescent="0.2">
      <c r="A396" s="321"/>
      <c r="B396" s="323"/>
      <c r="C396" s="323"/>
      <c r="D396" s="323"/>
      <c r="E396" s="323"/>
      <c r="F396" s="323"/>
      <c r="G396" s="323"/>
      <c r="H396" s="323"/>
      <c r="I396" s="323"/>
      <c r="J396" s="323"/>
      <c r="K396" s="323"/>
      <c r="L396" s="323"/>
      <c r="M396" s="651"/>
      <c r="N396" s="323"/>
      <c r="O396" s="323"/>
      <c r="P396" s="323"/>
      <c r="Q396" s="323"/>
    </row>
    <row r="397" spans="1:17" ht="20.100000000000001" customHeight="1" x14ac:dyDescent="0.4"/>
    <row r="398" spans="1:17" ht="9.9499999999999993" customHeight="1" x14ac:dyDescent="0.4"/>
    <row r="399" spans="1:17" ht="20.100000000000001" customHeight="1" x14ac:dyDescent="0.4"/>
    <row r="400" spans="1:17" ht="20.100000000000001" customHeight="1" x14ac:dyDescent="0.4"/>
    <row r="401" spans="1:17" ht="20.100000000000001" customHeight="1" x14ac:dyDescent="0.4"/>
    <row r="402" spans="1:17" s="322" customFormat="1" ht="20.100000000000001" customHeight="1" x14ac:dyDescent="0.2">
      <c r="A402" s="321"/>
      <c r="B402" s="323"/>
      <c r="C402" s="323"/>
      <c r="D402" s="323"/>
      <c r="E402" s="323"/>
      <c r="F402" s="323"/>
      <c r="G402" s="323"/>
      <c r="H402" s="323"/>
      <c r="I402" s="323"/>
      <c r="J402" s="323"/>
      <c r="K402" s="323"/>
      <c r="L402" s="323"/>
      <c r="M402" s="651"/>
      <c r="N402" s="323"/>
      <c r="O402" s="323"/>
      <c r="P402" s="323"/>
      <c r="Q402" s="323"/>
    </row>
    <row r="403" spans="1:17" s="322" customFormat="1" ht="20.100000000000001" customHeight="1" x14ac:dyDescent="0.2">
      <c r="A403" s="321"/>
      <c r="B403" s="323"/>
      <c r="C403" s="323"/>
      <c r="D403" s="323"/>
      <c r="E403" s="323"/>
      <c r="F403" s="323"/>
      <c r="G403" s="323"/>
      <c r="H403" s="323"/>
      <c r="I403" s="323"/>
      <c r="J403" s="323"/>
      <c r="K403" s="323"/>
      <c r="L403" s="323"/>
      <c r="M403" s="651"/>
      <c r="N403" s="323"/>
      <c r="O403" s="323"/>
      <c r="P403" s="323"/>
      <c r="Q403" s="323"/>
    </row>
    <row r="404" spans="1:17" s="322" customFormat="1" ht="20.100000000000001" customHeight="1" x14ac:dyDescent="0.2">
      <c r="A404" s="321"/>
      <c r="B404" s="323"/>
      <c r="C404" s="323"/>
      <c r="D404" s="323"/>
      <c r="E404" s="323"/>
      <c r="F404" s="323"/>
      <c r="G404" s="323"/>
      <c r="H404" s="323"/>
      <c r="I404" s="323"/>
      <c r="J404" s="323"/>
      <c r="K404" s="323"/>
      <c r="L404" s="323"/>
      <c r="M404" s="651"/>
      <c r="N404" s="323"/>
      <c r="O404" s="323"/>
      <c r="P404" s="323"/>
      <c r="Q404" s="323"/>
    </row>
    <row r="405" spans="1:17" s="322" customFormat="1" ht="20.100000000000001" customHeight="1" x14ac:dyDescent="0.2">
      <c r="A405" s="321"/>
      <c r="B405" s="323"/>
      <c r="C405" s="323"/>
      <c r="D405" s="323"/>
      <c r="E405" s="323"/>
      <c r="F405" s="323"/>
      <c r="G405" s="323"/>
      <c r="H405" s="323"/>
      <c r="I405" s="323"/>
      <c r="J405" s="323"/>
      <c r="K405" s="323"/>
      <c r="L405" s="323"/>
      <c r="M405" s="651"/>
      <c r="N405" s="323"/>
      <c r="O405" s="323"/>
      <c r="P405" s="323"/>
      <c r="Q405" s="323"/>
    </row>
    <row r="406" spans="1:17" s="322" customFormat="1" ht="20.100000000000001" customHeight="1" x14ac:dyDescent="0.2">
      <c r="A406" s="321"/>
      <c r="B406" s="323"/>
      <c r="C406" s="323"/>
      <c r="D406" s="323"/>
      <c r="E406" s="323"/>
      <c r="F406" s="323"/>
      <c r="G406" s="323"/>
      <c r="H406" s="323"/>
      <c r="I406" s="323"/>
      <c r="J406" s="323"/>
      <c r="K406" s="323"/>
      <c r="L406" s="323"/>
      <c r="M406" s="651"/>
      <c r="N406" s="323"/>
      <c r="O406" s="323"/>
      <c r="P406" s="323"/>
      <c r="Q406" s="323"/>
    </row>
    <row r="407" spans="1:17" s="322" customFormat="1" ht="20.100000000000001" customHeight="1" x14ac:dyDescent="0.2">
      <c r="A407" s="321"/>
      <c r="B407" s="323"/>
      <c r="C407" s="323"/>
      <c r="D407" s="323"/>
      <c r="E407" s="323"/>
      <c r="F407" s="323"/>
      <c r="G407" s="323"/>
      <c r="H407" s="323"/>
      <c r="I407" s="323"/>
      <c r="J407" s="323"/>
      <c r="K407" s="323"/>
      <c r="L407" s="323"/>
      <c r="M407" s="651"/>
      <c r="N407" s="323"/>
      <c r="O407" s="323"/>
      <c r="P407" s="323"/>
      <c r="Q407" s="323"/>
    </row>
    <row r="408" spans="1:17" s="322" customFormat="1" ht="20.100000000000001" customHeight="1" x14ac:dyDescent="0.2">
      <c r="A408" s="321"/>
      <c r="B408" s="323"/>
      <c r="C408" s="323"/>
      <c r="D408" s="323"/>
      <c r="E408" s="323"/>
      <c r="F408" s="323"/>
      <c r="G408" s="323"/>
      <c r="H408" s="323"/>
      <c r="I408" s="323"/>
      <c r="J408" s="323"/>
      <c r="K408" s="323"/>
      <c r="L408" s="323"/>
      <c r="M408" s="651"/>
      <c r="N408" s="323"/>
      <c r="O408" s="323"/>
      <c r="P408" s="323"/>
      <c r="Q408" s="323"/>
    </row>
    <row r="409" spans="1:17" s="322" customFormat="1" ht="20.100000000000001" customHeight="1" x14ac:dyDescent="0.2">
      <c r="A409" s="321"/>
      <c r="B409" s="323"/>
      <c r="C409" s="323"/>
      <c r="D409" s="323"/>
      <c r="E409" s="323"/>
      <c r="F409" s="323"/>
      <c r="G409" s="323"/>
      <c r="H409" s="323"/>
      <c r="I409" s="323"/>
      <c r="J409" s="323"/>
      <c r="K409" s="323"/>
      <c r="L409" s="323"/>
      <c r="M409" s="651"/>
      <c r="N409" s="323"/>
      <c r="O409" s="323"/>
      <c r="P409" s="323"/>
      <c r="Q409" s="323"/>
    </row>
    <row r="410" spans="1:17" s="322" customFormat="1" ht="20.100000000000001" customHeight="1" x14ac:dyDescent="0.2">
      <c r="A410" s="321"/>
      <c r="B410" s="323"/>
      <c r="C410" s="323"/>
      <c r="D410" s="323"/>
      <c r="E410" s="323"/>
      <c r="F410" s="323"/>
      <c r="G410" s="323"/>
      <c r="H410" s="323"/>
      <c r="I410" s="323"/>
      <c r="J410" s="323"/>
      <c r="K410" s="323"/>
      <c r="L410" s="323"/>
      <c r="M410" s="651"/>
      <c r="N410" s="323"/>
      <c r="O410" s="323"/>
      <c r="P410" s="323"/>
      <c r="Q410" s="323"/>
    </row>
    <row r="411" spans="1:17" s="322" customFormat="1" ht="20.100000000000001" customHeight="1" x14ac:dyDescent="0.2">
      <c r="A411" s="321"/>
      <c r="B411" s="323"/>
      <c r="C411" s="323"/>
      <c r="D411" s="323"/>
      <c r="E411" s="323"/>
      <c r="F411" s="323"/>
      <c r="G411" s="323"/>
      <c r="H411" s="323"/>
      <c r="I411" s="323"/>
      <c r="J411" s="323"/>
      <c r="K411" s="323"/>
      <c r="L411" s="323"/>
      <c r="M411" s="651"/>
      <c r="N411" s="323"/>
      <c r="O411" s="323"/>
      <c r="P411" s="323"/>
      <c r="Q411" s="323"/>
    </row>
    <row r="412" spans="1:17" s="322" customFormat="1" ht="20.100000000000001" customHeight="1" x14ac:dyDescent="0.2">
      <c r="A412" s="321"/>
      <c r="B412" s="323"/>
      <c r="C412" s="323"/>
      <c r="D412" s="323"/>
      <c r="E412" s="323"/>
      <c r="F412" s="323"/>
      <c r="G412" s="323"/>
      <c r="H412" s="323"/>
      <c r="I412" s="323"/>
      <c r="J412" s="323"/>
      <c r="K412" s="323"/>
      <c r="L412" s="323"/>
      <c r="M412" s="651"/>
      <c r="N412" s="323"/>
      <c r="O412" s="323"/>
      <c r="P412" s="323"/>
      <c r="Q412" s="323"/>
    </row>
    <row r="413" spans="1:17" s="322" customFormat="1" ht="20.100000000000001" customHeight="1" x14ac:dyDescent="0.2">
      <c r="A413" s="321"/>
      <c r="B413" s="323"/>
      <c r="C413" s="323"/>
      <c r="D413" s="323"/>
      <c r="E413" s="323"/>
      <c r="F413" s="323"/>
      <c r="G413" s="323"/>
      <c r="H413" s="323"/>
      <c r="I413" s="323"/>
      <c r="J413" s="323"/>
      <c r="K413" s="323"/>
      <c r="L413" s="323"/>
      <c r="M413" s="651"/>
      <c r="N413" s="323"/>
      <c r="O413" s="323"/>
      <c r="P413" s="323"/>
      <c r="Q413" s="323"/>
    </row>
    <row r="414" spans="1:17" s="322" customFormat="1" ht="20.100000000000001" customHeight="1" x14ac:dyDescent="0.2">
      <c r="A414" s="321"/>
      <c r="B414" s="323"/>
      <c r="C414" s="323"/>
      <c r="D414" s="323"/>
      <c r="E414" s="323"/>
      <c r="F414" s="323"/>
      <c r="G414" s="323"/>
      <c r="H414" s="323"/>
      <c r="I414" s="323"/>
      <c r="J414" s="323"/>
      <c r="K414" s="323"/>
      <c r="L414" s="323"/>
      <c r="M414" s="651"/>
      <c r="N414" s="323"/>
      <c r="O414" s="323"/>
      <c r="P414" s="323"/>
      <c r="Q414" s="323"/>
    </row>
    <row r="415" spans="1:17" s="322" customFormat="1" ht="20.100000000000001" customHeight="1" x14ac:dyDescent="0.2">
      <c r="A415" s="321"/>
      <c r="B415" s="323"/>
      <c r="C415" s="323"/>
      <c r="D415" s="323"/>
      <c r="E415" s="323"/>
      <c r="F415" s="323"/>
      <c r="G415" s="323"/>
      <c r="H415" s="323"/>
      <c r="I415" s="323"/>
      <c r="J415" s="323"/>
      <c r="K415" s="323"/>
      <c r="L415" s="323"/>
      <c r="M415" s="651"/>
      <c r="N415" s="323"/>
      <c r="O415" s="323"/>
      <c r="P415" s="323"/>
      <c r="Q415" s="323"/>
    </row>
    <row r="416" spans="1:17" s="322" customFormat="1" ht="20.100000000000001" customHeight="1" x14ac:dyDescent="0.2">
      <c r="A416" s="321"/>
      <c r="B416" s="323"/>
      <c r="C416" s="323"/>
      <c r="D416" s="323"/>
      <c r="E416" s="323"/>
      <c r="F416" s="323"/>
      <c r="G416" s="323"/>
      <c r="H416" s="323"/>
      <c r="I416" s="323"/>
      <c r="J416" s="323"/>
      <c r="K416" s="323"/>
      <c r="L416" s="323"/>
      <c r="M416" s="651"/>
      <c r="N416" s="323"/>
      <c r="O416" s="323"/>
      <c r="P416" s="323"/>
      <c r="Q416" s="323"/>
    </row>
    <row r="417" spans="1:17" s="322" customFormat="1" ht="20.100000000000001" customHeight="1" x14ac:dyDescent="0.2">
      <c r="A417" s="321"/>
      <c r="B417" s="323"/>
      <c r="C417" s="323"/>
      <c r="D417" s="323"/>
      <c r="E417" s="323"/>
      <c r="F417" s="323"/>
      <c r="G417" s="323"/>
      <c r="H417" s="323"/>
      <c r="I417" s="323"/>
      <c r="J417" s="323"/>
      <c r="K417" s="323"/>
      <c r="L417" s="323"/>
      <c r="M417" s="651"/>
      <c r="N417" s="323"/>
      <c r="O417" s="323"/>
      <c r="P417" s="323"/>
      <c r="Q417" s="323"/>
    </row>
    <row r="418" spans="1:17" s="322" customFormat="1" ht="20.100000000000001" customHeight="1" x14ac:dyDescent="0.2">
      <c r="A418" s="321"/>
      <c r="B418" s="323"/>
      <c r="C418" s="323"/>
      <c r="D418" s="323"/>
      <c r="E418" s="323"/>
      <c r="F418" s="323"/>
      <c r="G418" s="323"/>
      <c r="H418" s="323"/>
      <c r="I418" s="323"/>
      <c r="J418" s="323"/>
      <c r="K418" s="323"/>
      <c r="L418" s="323"/>
      <c r="M418" s="651"/>
      <c r="N418" s="323"/>
      <c r="O418" s="323"/>
      <c r="P418" s="323"/>
      <c r="Q418" s="323"/>
    </row>
    <row r="419" spans="1:17" s="322" customFormat="1" ht="20.100000000000001" customHeight="1" x14ac:dyDescent="0.2">
      <c r="A419" s="321"/>
      <c r="B419" s="323"/>
      <c r="C419" s="323"/>
      <c r="D419" s="323"/>
      <c r="E419" s="323"/>
      <c r="F419" s="323"/>
      <c r="G419" s="323"/>
      <c r="H419" s="323"/>
      <c r="I419" s="323"/>
      <c r="J419" s="323"/>
      <c r="K419" s="323"/>
      <c r="L419" s="323"/>
      <c r="M419" s="651"/>
      <c r="N419" s="323"/>
      <c r="O419" s="323"/>
      <c r="P419" s="323"/>
      <c r="Q419" s="323"/>
    </row>
    <row r="420" spans="1:17" s="322" customFormat="1" ht="20.100000000000001" customHeight="1" x14ac:dyDescent="0.2">
      <c r="A420" s="321"/>
      <c r="B420" s="323"/>
      <c r="C420" s="323"/>
      <c r="D420" s="323"/>
      <c r="E420" s="323"/>
      <c r="F420" s="323"/>
      <c r="G420" s="323"/>
      <c r="H420" s="323"/>
      <c r="I420" s="323"/>
      <c r="J420" s="323"/>
      <c r="K420" s="323"/>
      <c r="L420" s="323"/>
      <c r="M420" s="651"/>
      <c r="N420" s="323"/>
      <c r="O420" s="323"/>
      <c r="P420" s="323"/>
      <c r="Q420" s="323"/>
    </row>
    <row r="421" spans="1:17" s="322" customFormat="1" ht="20.100000000000001" customHeight="1" x14ac:dyDescent="0.2">
      <c r="A421" s="321"/>
      <c r="B421" s="323"/>
      <c r="C421" s="323"/>
      <c r="D421" s="323"/>
      <c r="E421" s="323"/>
      <c r="F421" s="323"/>
      <c r="G421" s="323"/>
      <c r="H421" s="323"/>
      <c r="I421" s="323"/>
      <c r="J421" s="323"/>
      <c r="K421" s="323"/>
      <c r="L421" s="323"/>
      <c r="M421" s="651"/>
      <c r="N421" s="323"/>
      <c r="O421" s="323"/>
      <c r="P421" s="323"/>
      <c r="Q421" s="323"/>
    </row>
    <row r="422" spans="1:17" s="322" customFormat="1" ht="20.100000000000001" customHeight="1" x14ac:dyDescent="0.2">
      <c r="A422" s="321"/>
      <c r="B422" s="323"/>
      <c r="C422" s="323"/>
      <c r="D422" s="323"/>
      <c r="E422" s="323"/>
      <c r="F422" s="323"/>
      <c r="G422" s="323"/>
      <c r="H422" s="323"/>
      <c r="I422" s="323"/>
      <c r="J422" s="323"/>
      <c r="K422" s="323"/>
      <c r="L422" s="323"/>
      <c r="M422" s="651"/>
      <c r="N422" s="323"/>
      <c r="O422" s="323"/>
      <c r="P422" s="323"/>
      <c r="Q422" s="323"/>
    </row>
    <row r="423" spans="1:17" s="322" customFormat="1" ht="20.100000000000001" customHeight="1" x14ac:dyDescent="0.2">
      <c r="A423" s="321"/>
      <c r="B423" s="323"/>
      <c r="C423" s="323"/>
      <c r="D423" s="323"/>
      <c r="E423" s="323"/>
      <c r="F423" s="323"/>
      <c r="G423" s="323"/>
      <c r="H423" s="323"/>
      <c r="I423" s="323"/>
      <c r="J423" s="323"/>
      <c r="K423" s="323"/>
      <c r="L423" s="323"/>
      <c r="M423" s="651"/>
      <c r="N423" s="323"/>
      <c r="O423" s="323"/>
      <c r="P423" s="323"/>
      <c r="Q423" s="323"/>
    </row>
    <row r="424" spans="1:17" s="322" customFormat="1" ht="20.100000000000001" customHeight="1" x14ac:dyDescent="0.2">
      <c r="A424" s="321"/>
      <c r="B424" s="323"/>
      <c r="C424" s="323"/>
      <c r="D424" s="323"/>
      <c r="E424" s="323"/>
      <c r="F424" s="323"/>
      <c r="G424" s="323"/>
      <c r="H424" s="323"/>
      <c r="I424" s="323"/>
      <c r="J424" s="323"/>
      <c r="K424" s="323"/>
      <c r="L424" s="323"/>
      <c r="M424" s="651"/>
      <c r="N424" s="323"/>
      <c r="O424" s="323"/>
      <c r="P424" s="323"/>
      <c r="Q424" s="323"/>
    </row>
    <row r="425" spans="1:17" s="322" customFormat="1" ht="20.100000000000001" customHeight="1" x14ac:dyDescent="0.2">
      <c r="A425" s="321"/>
      <c r="B425" s="323"/>
      <c r="C425" s="323"/>
      <c r="D425" s="323"/>
      <c r="E425" s="323"/>
      <c r="F425" s="323"/>
      <c r="G425" s="323"/>
      <c r="H425" s="323"/>
      <c r="I425" s="323"/>
      <c r="J425" s="323"/>
      <c r="K425" s="323"/>
      <c r="L425" s="323"/>
      <c r="M425" s="651"/>
      <c r="N425" s="323"/>
      <c r="O425" s="323"/>
      <c r="P425" s="323"/>
      <c r="Q425" s="323"/>
    </row>
    <row r="426" spans="1:17" s="322" customFormat="1" ht="20.100000000000001" customHeight="1" x14ac:dyDescent="0.2">
      <c r="A426" s="321"/>
      <c r="B426" s="323"/>
      <c r="C426" s="323"/>
      <c r="D426" s="323"/>
      <c r="E426" s="323"/>
      <c r="F426" s="323"/>
      <c r="G426" s="323"/>
      <c r="H426" s="323"/>
      <c r="I426" s="323"/>
      <c r="J426" s="323"/>
      <c r="K426" s="323"/>
      <c r="L426" s="323"/>
      <c r="M426" s="651"/>
      <c r="N426" s="323"/>
      <c r="O426" s="323"/>
      <c r="P426" s="323"/>
      <c r="Q426" s="323"/>
    </row>
    <row r="427" spans="1:17" s="322" customFormat="1" ht="20.100000000000001" customHeight="1" x14ac:dyDescent="0.2">
      <c r="A427" s="321"/>
      <c r="B427" s="323"/>
      <c r="C427" s="323"/>
      <c r="D427" s="323"/>
      <c r="E427" s="323"/>
      <c r="F427" s="323"/>
      <c r="G427" s="323"/>
      <c r="H427" s="323"/>
      <c r="I427" s="323"/>
      <c r="J427" s="323"/>
      <c r="K427" s="323"/>
      <c r="L427" s="323"/>
      <c r="M427" s="651"/>
      <c r="N427" s="323"/>
      <c r="O427" s="323"/>
      <c r="P427" s="323"/>
      <c r="Q427" s="323"/>
    </row>
    <row r="428" spans="1:17" s="322" customFormat="1" ht="20.100000000000001" customHeight="1" x14ac:dyDescent="0.2">
      <c r="A428" s="321"/>
      <c r="B428" s="323"/>
      <c r="C428" s="323"/>
      <c r="D428" s="323"/>
      <c r="E428" s="323"/>
      <c r="F428" s="323"/>
      <c r="G428" s="323"/>
      <c r="H428" s="323"/>
      <c r="I428" s="323"/>
      <c r="J428" s="323"/>
      <c r="K428" s="323"/>
      <c r="L428" s="323"/>
      <c r="M428" s="651"/>
      <c r="N428" s="323"/>
      <c r="O428" s="323"/>
      <c r="P428" s="323"/>
      <c r="Q428" s="323"/>
    </row>
    <row r="429" spans="1:17" s="322" customFormat="1" ht="20.100000000000001" customHeight="1" x14ac:dyDescent="0.2">
      <c r="A429" s="321"/>
      <c r="B429" s="323"/>
      <c r="C429" s="323"/>
      <c r="D429" s="323"/>
      <c r="E429" s="323"/>
      <c r="F429" s="323"/>
      <c r="G429" s="323"/>
      <c r="H429" s="323"/>
      <c r="I429" s="323"/>
      <c r="J429" s="323"/>
      <c r="K429" s="323"/>
      <c r="L429" s="323"/>
      <c r="M429" s="651"/>
      <c r="N429" s="323"/>
      <c r="O429" s="323"/>
      <c r="P429" s="323"/>
      <c r="Q429" s="323"/>
    </row>
    <row r="430" spans="1:17" s="322" customFormat="1" ht="20.100000000000001" customHeight="1" x14ac:dyDescent="0.2">
      <c r="A430" s="321"/>
      <c r="B430" s="323"/>
      <c r="C430" s="323"/>
      <c r="D430" s="323"/>
      <c r="E430" s="323"/>
      <c r="F430" s="323"/>
      <c r="G430" s="323"/>
      <c r="H430" s="323"/>
      <c r="I430" s="323"/>
      <c r="J430" s="323"/>
      <c r="K430" s="323"/>
      <c r="L430" s="323"/>
      <c r="M430" s="651"/>
      <c r="N430" s="323"/>
      <c r="O430" s="323"/>
      <c r="P430" s="323"/>
      <c r="Q430" s="323"/>
    </row>
    <row r="431" spans="1:17" s="322" customFormat="1" ht="20.100000000000001" customHeight="1" x14ac:dyDescent="0.2">
      <c r="A431" s="321"/>
      <c r="B431" s="323"/>
      <c r="C431" s="323"/>
      <c r="D431" s="323"/>
      <c r="E431" s="323"/>
      <c r="F431" s="323"/>
      <c r="G431" s="323"/>
      <c r="H431" s="323"/>
      <c r="I431" s="323"/>
      <c r="J431" s="323"/>
      <c r="K431" s="323"/>
      <c r="L431" s="323"/>
      <c r="M431" s="651"/>
      <c r="N431" s="323"/>
      <c r="O431" s="323"/>
      <c r="P431" s="323"/>
      <c r="Q431" s="323"/>
    </row>
    <row r="432" spans="1:17" s="322" customFormat="1" ht="20.100000000000001" customHeight="1" x14ac:dyDescent="0.2">
      <c r="A432" s="321"/>
      <c r="B432" s="323"/>
      <c r="C432" s="323"/>
      <c r="D432" s="323"/>
      <c r="E432" s="323"/>
      <c r="F432" s="323"/>
      <c r="G432" s="323"/>
      <c r="H432" s="323"/>
      <c r="I432" s="323"/>
      <c r="J432" s="323"/>
      <c r="K432" s="323"/>
      <c r="L432" s="323"/>
      <c r="M432" s="651"/>
      <c r="N432" s="323"/>
      <c r="O432" s="323"/>
      <c r="P432" s="323"/>
      <c r="Q432" s="323"/>
    </row>
    <row r="433" spans="1:17" s="322" customFormat="1" ht="20.100000000000001" customHeight="1" x14ac:dyDescent="0.2">
      <c r="A433" s="321"/>
      <c r="B433" s="323"/>
      <c r="C433" s="323"/>
      <c r="D433" s="323"/>
      <c r="E433" s="323"/>
      <c r="F433" s="323"/>
      <c r="G433" s="323"/>
      <c r="H433" s="323"/>
      <c r="I433" s="323"/>
      <c r="J433" s="323"/>
      <c r="K433" s="323"/>
      <c r="L433" s="323"/>
      <c r="M433" s="651"/>
      <c r="N433" s="323"/>
      <c r="O433" s="323"/>
      <c r="P433" s="323"/>
      <c r="Q433" s="323"/>
    </row>
    <row r="434" spans="1:17" s="322" customFormat="1" ht="20.100000000000001" customHeight="1" x14ac:dyDescent="0.2">
      <c r="A434" s="321"/>
      <c r="B434" s="323"/>
      <c r="C434" s="323"/>
      <c r="D434" s="323"/>
      <c r="E434" s="323"/>
      <c r="F434" s="323"/>
      <c r="G434" s="323"/>
      <c r="H434" s="323"/>
      <c r="I434" s="323"/>
      <c r="J434" s="323"/>
      <c r="K434" s="323"/>
      <c r="L434" s="323"/>
      <c r="M434" s="651"/>
      <c r="N434" s="323"/>
      <c r="O434" s="323"/>
      <c r="P434" s="323"/>
      <c r="Q434" s="323"/>
    </row>
    <row r="435" spans="1:17" s="322" customFormat="1" ht="20.100000000000001" customHeight="1" x14ac:dyDescent="0.2">
      <c r="A435" s="321"/>
      <c r="B435" s="323"/>
      <c r="C435" s="323"/>
      <c r="D435" s="323"/>
      <c r="E435" s="323"/>
      <c r="F435" s="323"/>
      <c r="G435" s="323"/>
      <c r="H435" s="323"/>
      <c r="I435" s="323"/>
      <c r="J435" s="323"/>
      <c r="K435" s="323"/>
      <c r="L435" s="323"/>
      <c r="M435" s="651"/>
      <c r="N435" s="323"/>
      <c r="O435" s="323"/>
      <c r="P435" s="323"/>
      <c r="Q435" s="323"/>
    </row>
    <row r="436" spans="1:17" s="322" customFormat="1" ht="20.100000000000001" customHeight="1" x14ac:dyDescent="0.2">
      <c r="A436" s="321"/>
      <c r="B436" s="323"/>
      <c r="C436" s="323"/>
      <c r="D436" s="323"/>
      <c r="E436" s="323"/>
      <c r="F436" s="323"/>
      <c r="G436" s="323"/>
      <c r="H436" s="323"/>
      <c r="I436" s="323"/>
      <c r="J436" s="323"/>
      <c r="K436" s="323"/>
      <c r="L436" s="323"/>
      <c r="M436" s="651"/>
      <c r="N436" s="323"/>
      <c r="O436" s="323"/>
      <c r="P436" s="323"/>
      <c r="Q436" s="323"/>
    </row>
    <row r="437" spans="1:17" s="322" customFormat="1" ht="20.100000000000001" customHeight="1" x14ac:dyDescent="0.2">
      <c r="A437" s="321"/>
      <c r="B437" s="323"/>
      <c r="C437" s="323"/>
      <c r="D437" s="323"/>
      <c r="E437" s="323"/>
      <c r="F437" s="323"/>
      <c r="G437" s="323"/>
      <c r="H437" s="323"/>
      <c r="I437" s="323"/>
      <c r="J437" s="323"/>
      <c r="K437" s="323"/>
      <c r="L437" s="323"/>
      <c r="M437" s="651"/>
      <c r="N437" s="323"/>
      <c r="O437" s="323"/>
      <c r="P437" s="323"/>
      <c r="Q437" s="323"/>
    </row>
    <row r="438" spans="1:17" s="322" customFormat="1" ht="20.100000000000001" customHeight="1" x14ac:dyDescent="0.2">
      <c r="A438" s="321"/>
      <c r="B438" s="323"/>
      <c r="C438" s="323"/>
      <c r="D438" s="323"/>
      <c r="E438" s="323"/>
      <c r="F438" s="323"/>
      <c r="G438" s="323"/>
      <c r="H438" s="323"/>
      <c r="I438" s="323"/>
      <c r="J438" s="323"/>
      <c r="K438" s="323"/>
      <c r="L438" s="323"/>
      <c r="M438" s="651"/>
      <c r="N438" s="323"/>
      <c r="O438" s="323"/>
      <c r="P438" s="323"/>
      <c r="Q438" s="323"/>
    </row>
    <row r="439" spans="1:17" ht="20.100000000000001" customHeight="1" x14ac:dyDescent="0.4"/>
    <row r="440" spans="1:17" ht="9.9499999999999993" customHeight="1" x14ac:dyDescent="0.4"/>
  </sheetData>
  <mergeCells count="16">
    <mergeCell ref="A2:Q2"/>
    <mergeCell ref="H8:I8"/>
    <mergeCell ref="A3:Q3"/>
    <mergeCell ref="A4:Q4"/>
    <mergeCell ref="P8:P9"/>
    <mergeCell ref="A6:Q6"/>
    <mergeCell ref="A7:Q7"/>
    <mergeCell ref="Q8:Q9"/>
    <mergeCell ref="A8:B9"/>
    <mergeCell ref="K8:O8"/>
    <mergeCell ref="A24:B24"/>
    <mergeCell ref="E8:G8"/>
    <mergeCell ref="C8:C10"/>
    <mergeCell ref="D8:D10"/>
    <mergeCell ref="A10:A11"/>
    <mergeCell ref="B10:B11"/>
  </mergeCells>
  <conditionalFormatting sqref="K10:N10 E10:F10 H11:J11 B13:J23">
    <cfRule type="cellIs" dxfId="9" priority="82" operator="equal">
      <formula>0</formula>
    </cfRule>
  </conditionalFormatting>
  <conditionalFormatting sqref="A10:B10">
    <cfRule type="cellIs" dxfId="8" priority="74" operator="equal">
      <formula>0</formula>
    </cfRule>
  </conditionalFormatting>
  <conditionalFormatting sqref="K13:Q23">
    <cfRule type="cellIs" dxfId="7" priority="77" operator="equal">
      <formula>0</formula>
    </cfRule>
  </conditionalFormatting>
  <conditionalFormatting sqref="I10:J10">
    <cfRule type="cellIs" dxfId="6" priority="76" operator="equal">
      <formula>0</formula>
    </cfRule>
  </conditionalFormatting>
  <conditionalFormatting sqref="O10:Q10">
    <cfRule type="cellIs" dxfId="5" priority="43" operator="equal">
      <formula>0</formula>
    </cfRule>
  </conditionalFormatting>
  <conditionalFormatting sqref="H10">
    <cfRule type="cellIs" dxfId="4" priority="42" operator="equal">
      <formula>0</formula>
    </cfRule>
  </conditionalFormatting>
  <conditionalFormatting sqref="G10">
    <cfRule type="cellIs" dxfId="3" priority="15" operator="equal">
      <formula>0</formula>
    </cfRule>
  </conditionalFormatting>
  <conditionalFormatting sqref="E11:G11">
    <cfRule type="cellIs" dxfId="2" priority="11" operator="equal">
      <formula>0</formula>
    </cfRule>
  </conditionalFormatting>
  <conditionalFormatting sqref="K11:Q11">
    <cfRule type="cellIs" dxfId="1" priority="10" operator="equal">
      <formula>0</formula>
    </cfRule>
  </conditionalFormatting>
  <conditionalFormatting sqref="C11:D11">
    <cfRule type="cellIs" dxfId="0" priority="8" operator="equal">
      <formula>0</formula>
    </cfRule>
  </conditionalFormatting>
  <printOptions horizontalCentered="1"/>
  <pageMargins left="0.51181102362204722" right="0.51181102362204722" top="0.78740157480314965" bottom="0.78740157480314965" header="0.31496062992125984" footer="0.31496062992125984"/>
  <pageSetup paperSize="9" scale="61" orientation="landscape"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Q30"/>
  <sheetViews>
    <sheetView view="pageBreakPreview" topLeftCell="B4" zoomScale="85" zoomScaleNormal="85" zoomScaleSheetLayoutView="85" workbookViewId="0">
      <selection activeCell="K28" sqref="K28"/>
    </sheetView>
  </sheetViews>
  <sheetFormatPr defaultColWidth="12" defaultRowHeight="12.75" x14ac:dyDescent="0.2"/>
  <cols>
    <col min="1" max="1" width="8.28515625" style="31" customWidth="1"/>
    <col min="2" max="2" width="29.42578125" style="31" customWidth="1"/>
    <col min="3" max="3" width="12.28515625" style="31" bestFit="1" customWidth="1"/>
    <col min="4" max="4" width="14.7109375" style="31" customWidth="1"/>
    <col min="5" max="12" width="16.7109375" style="31" customWidth="1"/>
    <col min="13" max="13" width="17.7109375" style="31" customWidth="1"/>
    <col min="14" max="247" width="9.140625" style="31" customWidth="1"/>
    <col min="248" max="248" width="8.28515625" style="31" customWidth="1"/>
    <col min="249" max="249" width="31.140625" style="31" customWidth="1"/>
    <col min="250" max="250" width="8.140625" style="31" customWidth="1"/>
    <col min="251" max="251" width="12" style="31" customWidth="1"/>
    <col min="252" max="16384" width="12" style="70"/>
  </cols>
  <sheetData>
    <row r="1" spans="1:251" x14ac:dyDescent="0.2">
      <c r="A1" s="27"/>
      <c r="B1" s="28"/>
      <c r="C1" s="28"/>
      <c r="D1" s="28"/>
      <c r="E1" s="28"/>
      <c r="F1" s="28"/>
      <c r="G1" s="28"/>
      <c r="H1" s="28"/>
      <c r="I1" s="28"/>
      <c r="J1" s="28"/>
      <c r="K1" s="28"/>
      <c r="L1" s="29"/>
    </row>
    <row r="2" spans="1:251" ht="24.95" customHeight="1" x14ac:dyDescent="0.2">
      <c r="A2" s="794" t="s">
        <v>19</v>
      </c>
      <c r="B2" s="795"/>
      <c r="C2" s="795"/>
      <c r="D2" s="795"/>
      <c r="E2" s="795"/>
      <c r="F2" s="795"/>
      <c r="G2" s="795"/>
      <c r="H2" s="795"/>
      <c r="I2" s="795"/>
      <c r="J2" s="795"/>
      <c r="K2" s="795"/>
      <c r="L2" s="796"/>
    </row>
    <row r="3" spans="1:251" ht="15" x14ac:dyDescent="0.2">
      <c r="A3" s="797" t="s">
        <v>193</v>
      </c>
      <c r="B3" s="798"/>
      <c r="C3" s="798"/>
      <c r="D3" s="798"/>
      <c r="E3" s="798"/>
      <c r="F3" s="798"/>
      <c r="G3" s="798"/>
      <c r="H3" s="798"/>
      <c r="I3" s="798"/>
      <c r="J3" s="798"/>
      <c r="K3" s="798"/>
      <c r="L3" s="799"/>
      <c r="M3" s="71"/>
      <c r="N3" s="71"/>
      <c r="O3" s="71"/>
      <c r="P3" s="71"/>
      <c r="Q3" s="71"/>
      <c r="R3" s="71"/>
      <c r="S3" s="71"/>
      <c r="T3" s="71"/>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row>
    <row r="4" spans="1:251" ht="15" x14ac:dyDescent="0.2">
      <c r="A4" s="800" t="s">
        <v>18</v>
      </c>
      <c r="B4" s="801"/>
      <c r="C4" s="801"/>
      <c r="D4" s="801"/>
      <c r="E4" s="801"/>
      <c r="F4" s="801"/>
      <c r="G4" s="801"/>
      <c r="H4" s="801"/>
      <c r="I4" s="801"/>
      <c r="J4" s="801"/>
      <c r="K4" s="801"/>
      <c r="L4" s="802"/>
      <c r="M4" s="71"/>
      <c r="N4" s="71"/>
      <c r="O4" s="71"/>
      <c r="P4" s="71"/>
      <c r="Q4" s="71"/>
      <c r="R4" s="71"/>
      <c r="S4" s="71"/>
      <c r="T4" s="71"/>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row>
    <row r="5" spans="1:251" ht="13.5" thickBot="1" x14ac:dyDescent="0.25">
      <c r="A5" s="803"/>
      <c r="B5" s="804"/>
      <c r="C5" s="804"/>
      <c r="D5" s="804"/>
      <c r="E5" s="804"/>
      <c r="F5" s="804"/>
      <c r="G5" s="804"/>
      <c r="H5" s="804"/>
      <c r="I5" s="804"/>
      <c r="J5" s="804"/>
      <c r="K5" s="804"/>
      <c r="L5" s="805"/>
      <c r="M5" s="71"/>
      <c r="N5" s="71"/>
      <c r="O5" s="71"/>
      <c r="P5" s="71"/>
      <c r="Q5" s="71"/>
      <c r="R5" s="71"/>
      <c r="S5" s="71"/>
      <c r="T5" s="71"/>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row>
    <row r="6" spans="1:251" ht="20.25" thickTop="1" thickBot="1" x14ac:dyDescent="0.25">
      <c r="A6" s="806" t="s">
        <v>218</v>
      </c>
      <c r="B6" s="807"/>
      <c r="C6" s="807"/>
      <c r="D6" s="807"/>
      <c r="E6" s="807"/>
      <c r="F6" s="807"/>
      <c r="G6" s="807"/>
      <c r="H6" s="807"/>
      <c r="I6" s="807"/>
      <c r="J6" s="807"/>
      <c r="K6" s="807"/>
      <c r="L6" s="808"/>
      <c r="M6" s="71"/>
      <c r="N6" s="71"/>
      <c r="O6" s="71"/>
      <c r="P6" s="71"/>
      <c r="Q6" s="71"/>
      <c r="R6" s="71"/>
      <c r="S6" s="71"/>
      <c r="T6" s="71"/>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row>
    <row r="7" spans="1:251" ht="38.25" customHeight="1" thickTop="1" x14ac:dyDescent="0.2">
      <c r="A7" s="791" t="str">
        <f>'ORÇAMENTO GERAL'!C7</f>
        <v>EXECUÇÃO DOS SERVIÇOS DE DRENAGEM SUPERFICIAL E DRENAGEM PROFUNDA  NA TRAVESSA BEIRA RIO E RUA MOCAJATUBA - NO DISTRITO INDUSTRIAL  NO MUNICÍPIO DE ANANINDEUA (PA).</v>
      </c>
      <c r="B7" s="792"/>
      <c r="C7" s="792"/>
      <c r="D7" s="792"/>
      <c r="E7" s="792"/>
      <c r="F7" s="792"/>
      <c r="G7" s="792"/>
      <c r="H7" s="792"/>
      <c r="I7" s="792"/>
      <c r="J7" s="792"/>
      <c r="K7" s="792"/>
      <c r="L7" s="793"/>
      <c r="M7" s="72"/>
      <c r="N7" s="72"/>
      <c r="O7" s="72"/>
      <c r="P7" s="72"/>
      <c r="Q7" s="72"/>
      <c r="R7" s="72"/>
      <c r="S7" s="72"/>
      <c r="T7" s="72"/>
    </row>
    <row r="8" spans="1:251" ht="3" customHeight="1" thickBot="1" x14ac:dyDescent="0.25">
      <c r="A8" s="92"/>
      <c r="B8" s="93"/>
      <c r="C8" s="93"/>
      <c r="D8" s="93"/>
      <c r="E8" s="93"/>
      <c r="F8" s="93"/>
      <c r="G8" s="93"/>
      <c r="H8" s="93"/>
      <c r="I8" s="93"/>
      <c r="J8" s="94"/>
      <c r="K8" s="93"/>
      <c r="L8" s="94"/>
      <c r="M8" s="72"/>
      <c r="N8" s="72"/>
      <c r="O8" s="72"/>
      <c r="P8" s="72"/>
      <c r="Q8" s="72"/>
      <c r="R8" s="72"/>
      <c r="S8" s="72"/>
      <c r="T8" s="72"/>
    </row>
    <row r="9" spans="1:251" x14ac:dyDescent="0.2">
      <c r="A9" s="815" t="s">
        <v>7</v>
      </c>
      <c r="B9" s="816" t="s">
        <v>219</v>
      </c>
      <c r="C9" s="816" t="s">
        <v>220</v>
      </c>
      <c r="D9" s="819" t="s">
        <v>221</v>
      </c>
      <c r="E9" s="821" t="s">
        <v>222</v>
      </c>
      <c r="F9" s="822"/>
      <c r="G9" s="822"/>
      <c r="H9" s="822"/>
      <c r="I9" s="822"/>
      <c r="J9" s="822"/>
      <c r="K9" s="822"/>
      <c r="L9" s="823"/>
    </row>
    <row r="10" spans="1:251" x14ac:dyDescent="0.2">
      <c r="A10" s="811"/>
      <c r="B10" s="817" t="s">
        <v>219</v>
      </c>
      <c r="C10" s="817" t="s">
        <v>223</v>
      </c>
      <c r="D10" s="820"/>
      <c r="E10" s="818">
        <v>1</v>
      </c>
      <c r="F10" s="810"/>
      <c r="G10" s="809">
        <v>2</v>
      </c>
      <c r="H10" s="810"/>
      <c r="I10" s="809">
        <v>3</v>
      </c>
      <c r="J10" s="810"/>
      <c r="K10" s="809">
        <v>4</v>
      </c>
      <c r="L10" s="810"/>
    </row>
    <row r="11" spans="1:251" x14ac:dyDescent="0.2">
      <c r="A11" s="811"/>
      <c r="B11" s="817"/>
      <c r="C11" s="817"/>
      <c r="D11" s="820"/>
      <c r="E11" s="73" t="s">
        <v>223</v>
      </c>
      <c r="F11" s="74" t="s">
        <v>224</v>
      </c>
      <c r="G11" s="75" t="s">
        <v>223</v>
      </c>
      <c r="H11" s="74" t="s">
        <v>224</v>
      </c>
      <c r="I11" s="75" t="s">
        <v>223</v>
      </c>
      <c r="J11" s="74" t="s">
        <v>224</v>
      </c>
      <c r="K11" s="75" t="s">
        <v>223</v>
      </c>
      <c r="L11" s="74" t="s">
        <v>224</v>
      </c>
    </row>
    <row r="12" spans="1:251" ht="30" customHeight="1" x14ac:dyDescent="0.2">
      <c r="A12" s="811">
        <f>'ORÇAMENTO GERAL'!C10</f>
        <v>1</v>
      </c>
      <c r="B12" s="812" t="str">
        <f>'ORÇAMENTO GERAL'!D10</f>
        <v>SERVIÇOS PRELIMINARES</v>
      </c>
      <c r="C12" s="813">
        <f>D12/$D$29</f>
        <v>3.2099999999999997E-2</v>
      </c>
      <c r="D12" s="814">
        <f>'ORÇAMENTO GERAL'!K16</f>
        <v>13831.32</v>
      </c>
      <c r="E12" s="76">
        <v>1</v>
      </c>
      <c r="F12" s="77">
        <f>ROUND($D12*E12,2)</f>
        <v>13831.32</v>
      </c>
      <c r="G12" s="78">
        <v>0</v>
      </c>
      <c r="H12" s="77">
        <f>ROUND($D12*G12,2)</f>
        <v>0</v>
      </c>
      <c r="I12" s="78">
        <v>0</v>
      </c>
      <c r="J12" s="77">
        <f>ROUND($D12*I12,2)</f>
        <v>0</v>
      </c>
      <c r="K12" s="78">
        <v>0</v>
      </c>
      <c r="L12" s="77">
        <f>ROUND($D12*K12,2)</f>
        <v>0</v>
      </c>
      <c r="M12" s="80">
        <f>E12+G12+I12+K12</f>
        <v>1</v>
      </c>
    </row>
    <row r="13" spans="1:251" ht="6" customHeight="1" x14ac:dyDescent="0.2">
      <c r="A13" s="811"/>
      <c r="B13" s="812"/>
      <c r="C13" s="813"/>
      <c r="D13" s="814"/>
      <c r="E13" s="112"/>
      <c r="F13" s="113"/>
      <c r="G13" s="1048"/>
      <c r="H13" s="1048"/>
      <c r="I13" s="1048"/>
      <c r="J13" s="1048"/>
      <c r="K13" s="1048"/>
      <c r="L13" s="1048"/>
      <c r="M13" s="80">
        <f t="shared" ref="M13:M27" si="0">E13+G13+I13+K13</f>
        <v>0</v>
      </c>
    </row>
    <row r="14" spans="1:251" ht="30" hidden="1" customHeight="1" x14ac:dyDescent="0.2">
      <c r="A14" s="811">
        <f>'ORÇAMENTO GERAL'!C17</f>
        <v>2</v>
      </c>
      <c r="B14" s="812" t="str">
        <f>'ORÇAMENTO GERAL'!D17</f>
        <v>DEMOLIÇÕES E RETIRADAS</v>
      </c>
      <c r="C14" s="813">
        <f>D14/$D$29</f>
        <v>0</v>
      </c>
      <c r="D14" s="814">
        <f>'ORÇAMENTO GERAL'!K20</f>
        <v>0</v>
      </c>
      <c r="E14" s="76">
        <v>0</v>
      </c>
      <c r="F14" s="77">
        <f>ROUND($D14*E14,2)</f>
        <v>0</v>
      </c>
      <c r="G14" s="78">
        <v>0</v>
      </c>
      <c r="H14" s="77">
        <f>ROUND($D14*G14,2)</f>
        <v>0</v>
      </c>
      <c r="I14" s="78">
        <v>0</v>
      </c>
      <c r="J14" s="77">
        <f>ROUND($D14*I14,2)</f>
        <v>0</v>
      </c>
      <c r="K14" s="78">
        <v>0</v>
      </c>
      <c r="L14" s="77">
        <f>ROUND($D14*K14,2)</f>
        <v>0</v>
      </c>
      <c r="M14" s="80">
        <f>E14+G14+I14+K14</f>
        <v>0</v>
      </c>
    </row>
    <row r="15" spans="1:251" ht="6" hidden="1" customHeight="1" x14ac:dyDescent="0.2">
      <c r="A15" s="811"/>
      <c r="B15" s="812"/>
      <c r="C15" s="813"/>
      <c r="D15" s="814"/>
      <c r="E15" s="112"/>
      <c r="F15" s="113"/>
      <c r="G15" s="114"/>
      <c r="H15" s="113"/>
      <c r="I15" s="115"/>
      <c r="J15" s="113"/>
      <c r="K15" s="115"/>
      <c r="L15" s="113"/>
      <c r="M15" s="80">
        <f>E15+G15+I15+K15</f>
        <v>0</v>
      </c>
    </row>
    <row r="16" spans="1:251" ht="30" customHeight="1" x14ac:dyDescent="0.2">
      <c r="A16" s="811">
        <f>'ORÇAMENTO GERAL'!C21</f>
        <v>2</v>
      </c>
      <c r="B16" s="812" t="str">
        <f>'ORÇAMENTO GERAL'!D21</f>
        <v>DISPOSITIVOS DE DRENAGEM SUPERFICIAL</v>
      </c>
      <c r="C16" s="813">
        <f>D16/$D$29</f>
        <v>0.34399999999999997</v>
      </c>
      <c r="D16" s="814">
        <f>'ORÇAMENTO GERAL'!K26</f>
        <v>148383.44</v>
      </c>
      <c r="E16" s="76">
        <v>0.25</v>
      </c>
      <c r="F16" s="77">
        <f>ROUND($D16*E16,2)</f>
        <v>37095.86</v>
      </c>
      <c r="G16" s="79">
        <v>0.3</v>
      </c>
      <c r="H16" s="77">
        <f>ROUND($D16*G16,2)</f>
        <v>44515.03</v>
      </c>
      <c r="I16" s="79">
        <v>0.3</v>
      </c>
      <c r="J16" s="77">
        <f>ROUND($D16*I16,2)</f>
        <v>44515.03</v>
      </c>
      <c r="K16" s="79">
        <v>0.15</v>
      </c>
      <c r="L16" s="77">
        <f>ROUND($D16*K16,2)</f>
        <v>22257.52</v>
      </c>
      <c r="M16" s="80">
        <f t="shared" si="0"/>
        <v>1</v>
      </c>
    </row>
    <row r="17" spans="1:13" ht="6" customHeight="1" x14ac:dyDescent="0.2">
      <c r="A17" s="811"/>
      <c r="B17" s="812"/>
      <c r="C17" s="813"/>
      <c r="D17" s="814"/>
      <c r="E17" s="114"/>
      <c r="F17" s="114"/>
      <c r="G17" s="114"/>
      <c r="H17" s="113"/>
      <c r="I17" s="115"/>
      <c r="J17" s="113"/>
      <c r="K17" s="115"/>
      <c r="L17" s="113"/>
      <c r="M17" s="80">
        <f t="shared" si="0"/>
        <v>0</v>
      </c>
    </row>
    <row r="18" spans="1:13" ht="30" customHeight="1" x14ac:dyDescent="0.2">
      <c r="A18" s="811">
        <f>'ORÇAMENTO GERAL'!C27</f>
        <v>2</v>
      </c>
      <c r="B18" s="812" t="str">
        <f>'ORÇAMENTO GERAL'!F27</f>
        <v>DISPOSITIVOS DE DRENAGEM PROFUNDA</v>
      </c>
      <c r="C18" s="813">
        <f>D18/$D$29</f>
        <v>0.59819999999999995</v>
      </c>
      <c r="D18" s="814">
        <f>'ORÇAMENTO GERAL'!K98</f>
        <v>258005.68</v>
      </c>
      <c r="E18" s="76">
        <v>0.25</v>
      </c>
      <c r="F18" s="77">
        <f>ROUND($D18*E18,2)</f>
        <v>64501.42</v>
      </c>
      <c r="G18" s="79">
        <v>0.3</v>
      </c>
      <c r="H18" s="77">
        <f>ROUND($D18*G18,2)</f>
        <v>77401.7</v>
      </c>
      <c r="I18" s="79">
        <v>0.3</v>
      </c>
      <c r="J18" s="77">
        <f>ROUND($D18*I18,2)</f>
        <v>77401.7</v>
      </c>
      <c r="K18" s="79">
        <v>0.15</v>
      </c>
      <c r="L18" s="77">
        <f>ROUND($D18*K18,2)</f>
        <v>38700.85</v>
      </c>
      <c r="M18" s="80">
        <f t="shared" si="0"/>
        <v>1</v>
      </c>
    </row>
    <row r="19" spans="1:13" ht="6" customHeight="1" x14ac:dyDescent="0.2">
      <c r="A19" s="811"/>
      <c r="B19" s="812"/>
      <c r="C19" s="813"/>
      <c r="D19" s="814"/>
      <c r="E19" s="112"/>
      <c r="F19" s="113"/>
      <c r="G19" s="114"/>
      <c r="H19" s="113"/>
      <c r="I19" s="115"/>
      <c r="J19" s="113"/>
      <c r="K19" s="115"/>
      <c r="L19" s="113"/>
      <c r="M19" s="80">
        <f t="shared" si="0"/>
        <v>0</v>
      </c>
    </row>
    <row r="20" spans="1:13" ht="30" hidden="1" customHeight="1" x14ac:dyDescent="0.2">
      <c r="A20" s="811" t="str">
        <f>'ORÇAMENTO GERAL'!C18</f>
        <v>2.1</v>
      </c>
      <c r="B20" s="812" t="str">
        <f>'ORÇAMENTO GERAL'!F99</f>
        <v>SERVIÇOS DE TERRAPLENAGEM</v>
      </c>
      <c r="C20" s="813">
        <f>D20/$D$29</f>
        <v>0</v>
      </c>
      <c r="D20" s="814">
        <f>'ORÇAMENTO GERAL'!K104</f>
        <v>0</v>
      </c>
      <c r="E20" s="76"/>
      <c r="F20" s="77">
        <f>ROUND($D20*E20,2)</f>
        <v>0</v>
      </c>
      <c r="G20" s="78">
        <v>0</v>
      </c>
      <c r="H20" s="77">
        <f>ROUND($D20*G20,2)</f>
        <v>0</v>
      </c>
      <c r="I20" s="78">
        <v>0</v>
      </c>
      <c r="J20" s="77">
        <f>ROUND($D20*I20,2)</f>
        <v>0</v>
      </c>
      <c r="K20" s="78">
        <v>0</v>
      </c>
      <c r="L20" s="77">
        <f>ROUND($D20*K20,2)</f>
        <v>0</v>
      </c>
      <c r="M20" s="80">
        <f t="shared" si="0"/>
        <v>0</v>
      </c>
    </row>
    <row r="21" spans="1:13" ht="6" hidden="1" customHeight="1" x14ac:dyDescent="0.2">
      <c r="A21" s="811"/>
      <c r="B21" s="812"/>
      <c r="C21" s="813"/>
      <c r="D21" s="814"/>
      <c r="E21" s="377"/>
      <c r="F21" s="77"/>
      <c r="G21" s="114"/>
      <c r="H21" s="113"/>
      <c r="I21" s="115"/>
      <c r="J21" s="113"/>
      <c r="K21" s="115"/>
      <c r="L21" s="113"/>
      <c r="M21" s="80">
        <f t="shared" si="0"/>
        <v>0</v>
      </c>
    </row>
    <row r="22" spans="1:13" ht="30" hidden="1" customHeight="1" x14ac:dyDescent="0.2">
      <c r="A22" s="811" t="str">
        <f>'ORÇAMENTO GERAL'!C20</f>
        <v>TOTAL DO  ITEM 2:</v>
      </c>
      <c r="B22" s="812" t="str">
        <f>'ORÇAMENTO GERAL'!F105</f>
        <v>SERVIÇOS DE CAIXA PRIMÁRIA</v>
      </c>
      <c r="C22" s="813">
        <f>D22/$D$29</f>
        <v>0</v>
      </c>
      <c r="D22" s="814">
        <f>'ORÇAMENTO GERAL'!K114</f>
        <v>0</v>
      </c>
      <c r="E22" s="76"/>
      <c r="F22" s="77">
        <f>ROUND($D22*E22,2)</f>
        <v>0</v>
      </c>
      <c r="G22" s="79">
        <v>0</v>
      </c>
      <c r="H22" s="77">
        <f>ROUND($D22*G22,2)</f>
        <v>0</v>
      </c>
      <c r="I22" s="79">
        <v>0</v>
      </c>
      <c r="J22" s="77">
        <f>ROUND($D22*I22,2)</f>
        <v>0</v>
      </c>
      <c r="K22" s="79">
        <v>0</v>
      </c>
      <c r="L22" s="77">
        <f>ROUND($D22*K22,2)</f>
        <v>0</v>
      </c>
      <c r="M22" s="80">
        <f t="shared" si="0"/>
        <v>0</v>
      </c>
    </row>
    <row r="23" spans="1:13" ht="6" hidden="1" customHeight="1" x14ac:dyDescent="0.2">
      <c r="A23" s="811"/>
      <c r="B23" s="812"/>
      <c r="C23" s="813"/>
      <c r="D23" s="814"/>
      <c r="E23" s="76"/>
      <c r="F23" s="77"/>
      <c r="G23" s="114"/>
      <c r="H23" s="113"/>
      <c r="I23" s="115"/>
      <c r="J23" s="113"/>
      <c r="K23" s="115"/>
      <c r="L23" s="113"/>
      <c r="M23" s="80">
        <f t="shared" si="0"/>
        <v>0</v>
      </c>
    </row>
    <row r="24" spans="1:13" ht="30" hidden="1" customHeight="1" x14ac:dyDescent="0.2">
      <c r="A24" s="811" t="str">
        <f>'ORÇAMENTO GERAL'!C22</f>
        <v>2.1</v>
      </c>
      <c r="B24" s="812" t="str">
        <f>'ORÇAMENTO GERAL'!F115</f>
        <v>SERVIÇOS DE REVESTIMENTO</v>
      </c>
      <c r="C24" s="813">
        <f>D24/$D$29</f>
        <v>0</v>
      </c>
      <c r="D24" s="814">
        <f>'ORÇAMENTO GERAL'!K123</f>
        <v>0</v>
      </c>
      <c r="E24" s="76"/>
      <c r="F24" s="77">
        <f>ROUND($D24*E24,2)</f>
        <v>0</v>
      </c>
      <c r="G24" s="79"/>
      <c r="H24" s="77">
        <f>ROUND($D24*G24,2)</f>
        <v>0</v>
      </c>
      <c r="I24" s="79">
        <v>0</v>
      </c>
      <c r="J24" s="77">
        <f>ROUND($D24*I24,2)</f>
        <v>0</v>
      </c>
      <c r="K24" s="79">
        <v>0</v>
      </c>
      <c r="L24" s="77">
        <f>ROUND($D24*K24,2)</f>
        <v>0</v>
      </c>
      <c r="M24" s="80">
        <f t="shared" si="0"/>
        <v>0</v>
      </c>
    </row>
    <row r="25" spans="1:13" ht="6" hidden="1" customHeight="1" x14ac:dyDescent="0.2">
      <c r="A25" s="811"/>
      <c r="B25" s="812"/>
      <c r="C25" s="813"/>
      <c r="D25" s="814"/>
      <c r="E25" s="81"/>
      <c r="F25" s="82"/>
      <c r="G25" s="83"/>
      <c r="H25" s="82"/>
      <c r="I25" s="116"/>
      <c r="J25" s="117"/>
      <c r="K25" s="116"/>
      <c r="L25" s="117"/>
      <c r="M25" s="80">
        <f t="shared" si="0"/>
        <v>0</v>
      </c>
    </row>
    <row r="26" spans="1:13" ht="30" customHeight="1" x14ac:dyDescent="0.2">
      <c r="A26" s="811" t="str">
        <f>'ORÇAMENTO GERAL'!C24</f>
        <v>2.2</v>
      </c>
      <c r="B26" s="812" t="str">
        <f>'ORÇAMENTO GERAL'!F124</f>
        <v>LIMPEZA FINAL</v>
      </c>
      <c r="C26" s="813">
        <f>D26/$D$29</f>
        <v>2.58E-2</v>
      </c>
      <c r="D26" s="814">
        <f>'ORÇAMENTO GERAL'!K126</f>
        <v>11117.25</v>
      </c>
      <c r="E26" s="76"/>
      <c r="F26" s="77">
        <f>ROUND($D26*E26,2)</f>
        <v>0</v>
      </c>
      <c r="G26" s="79"/>
      <c r="H26" s="77">
        <f>ROUND($D26*G26,2)</f>
        <v>0</v>
      </c>
      <c r="I26" s="79">
        <v>0</v>
      </c>
      <c r="J26" s="77">
        <f>ROUND($D26*I26,2)</f>
        <v>0</v>
      </c>
      <c r="K26" s="79">
        <v>1</v>
      </c>
      <c r="L26" s="77">
        <f>ROUND($D26*K26,2)</f>
        <v>11117.25</v>
      </c>
      <c r="M26" s="80">
        <f t="shared" si="0"/>
        <v>1</v>
      </c>
    </row>
    <row r="27" spans="1:13" ht="6" customHeight="1" x14ac:dyDescent="0.2">
      <c r="A27" s="811"/>
      <c r="B27" s="812"/>
      <c r="C27" s="813"/>
      <c r="D27" s="814"/>
      <c r="E27" s="81"/>
      <c r="F27" s="82"/>
      <c r="G27" s="83"/>
      <c r="H27" s="82"/>
      <c r="I27" s="82"/>
      <c r="J27" s="82"/>
      <c r="K27" s="116"/>
      <c r="L27" s="117"/>
      <c r="M27" s="80">
        <f t="shared" si="0"/>
        <v>0</v>
      </c>
    </row>
    <row r="28" spans="1:13" x14ac:dyDescent="0.2">
      <c r="A28" s="84"/>
      <c r="B28" s="85"/>
      <c r="C28" s="86"/>
      <c r="D28" s="87"/>
      <c r="E28" s="3"/>
      <c r="F28" s="88"/>
      <c r="G28" s="89"/>
      <c r="H28" s="88"/>
      <c r="I28" s="89"/>
      <c r="J28" s="88"/>
      <c r="K28" s="89"/>
      <c r="L28" s="88"/>
    </row>
    <row r="29" spans="1:13" ht="24.95" customHeight="1" x14ac:dyDescent="0.2">
      <c r="A29" s="811" t="s">
        <v>23</v>
      </c>
      <c r="B29" s="95" t="s">
        <v>225</v>
      </c>
      <c r="C29" s="813">
        <f>ROUND(SUM(C12:C27),2)</f>
        <v>1</v>
      </c>
      <c r="D29" s="814">
        <f>ROUND(SUM(D12:D27),2)</f>
        <v>431337.69</v>
      </c>
      <c r="E29" s="90">
        <f>F29/$D$29</f>
        <v>0.2676</v>
      </c>
      <c r="F29" s="96">
        <f>F12+F14+F16+F18+F20+F22+F24+F26</f>
        <v>115428.6</v>
      </c>
      <c r="G29" s="91">
        <f>H29/D29</f>
        <v>0.28260000000000002</v>
      </c>
      <c r="H29" s="358">
        <f>H12+H14+H16+H18+H20+H22+H24+H26</f>
        <v>121916.73</v>
      </c>
      <c r="I29" s="91">
        <f>J29/D29</f>
        <v>0.28260000000000002</v>
      </c>
      <c r="J29" s="358">
        <f>J12+J14+J16+J18+J20+J22+J24+J26</f>
        <v>121916.73</v>
      </c>
      <c r="K29" s="91">
        <f>L29/D29</f>
        <v>0.1671</v>
      </c>
      <c r="L29" s="358">
        <f>L12+L14+L16+L18+L20+L22+L24+L26</f>
        <v>72075.62</v>
      </c>
    </row>
    <row r="30" spans="1:13" ht="24.95" customHeight="1" thickBot="1" x14ac:dyDescent="0.25">
      <c r="A30" s="824"/>
      <c r="B30" s="97" t="s">
        <v>226</v>
      </c>
      <c r="C30" s="825">
        <v>1</v>
      </c>
      <c r="D30" s="826">
        <v>528609.18999999994</v>
      </c>
      <c r="E30" s="98">
        <f>F30/$D$29</f>
        <v>0.2676</v>
      </c>
      <c r="F30" s="99">
        <f>F29</f>
        <v>115428.6</v>
      </c>
      <c r="G30" s="100">
        <f>H30/$D$29</f>
        <v>0.55030000000000001</v>
      </c>
      <c r="H30" s="99">
        <f>F30+H29</f>
        <v>237345.33</v>
      </c>
      <c r="I30" s="100">
        <f>J30/$D$29</f>
        <v>0.83289999999999997</v>
      </c>
      <c r="J30" s="101">
        <f>H30+J29</f>
        <v>359262.06</v>
      </c>
      <c r="K30" s="100">
        <f>L30/$D$29</f>
        <v>1</v>
      </c>
      <c r="L30" s="99">
        <f>J30+L29+0.01</f>
        <v>431337.69</v>
      </c>
    </row>
  </sheetData>
  <mergeCells count="50">
    <mergeCell ref="A29:A30"/>
    <mergeCell ref="C29:C30"/>
    <mergeCell ref="D29:D30"/>
    <mergeCell ref="D26:D27"/>
    <mergeCell ref="A20:A21"/>
    <mergeCell ref="B20:B21"/>
    <mergeCell ref="D24:D25"/>
    <mergeCell ref="D20:D21"/>
    <mergeCell ref="D22:D23"/>
    <mergeCell ref="A24:A25"/>
    <mergeCell ref="A26:A27"/>
    <mergeCell ref="B26:B27"/>
    <mergeCell ref="C26:C27"/>
    <mergeCell ref="C20:C21"/>
    <mergeCell ref="B24:B25"/>
    <mergeCell ref="C24:C25"/>
    <mergeCell ref="A22:A23"/>
    <mergeCell ref="B22:B23"/>
    <mergeCell ref="C22:C23"/>
    <mergeCell ref="A18:A19"/>
    <mergeCell ref="B18:B19"/>
    <mergeCell ref="C18:C19"/>
    <mergeCell ref="D18:D19"/>
    <mergeCell ref="I10:J10"/>
    <mergeCell ref="A14:A15"/>
    <mergeCell ref="B14:B15"/>
    <mergeCell ref="G10:H10"/>
    <mergeCell ref="B9:B11"/>
    <mergeCell ref="C14:C15"/>
    <mergeCell ref="D14:D15"/>
    <mergeCell ref="A16:A17"/>
    <mergeCell ref="B16:B17"/>
    <mergeCell ref="C16:C17"/>
    <mergeCell ref="D16:D17"/>
    <mergeCell ref="K10:L10"/>
    <mergeCell ref="A12:A13"/>
    <mergeCell ref="B12:B13"/>
    <mergeCell ref="C12:C13"/>
    <mergeCell ref="D12:D13"/>
    <mergeCell ref="A9:A11"/>
    <mergeCell ref="C9:C11"/>
    <mergeCell ref="E10:F10"/>
    <mergeCell ref="D9:D11"/>
    <mergeCell ref="E9:L9"/>
    <mergeCell ref="A7:L7"/>
    <mergeCell ref="A2:L2"/>
    <mergeCell ref="A3:L3"/>
    <mergeCell ref="A4:L4"/>
    <mergeCell ref="A5:L5"/>
    <mergeCell ref="A6:L6"/>
  </mergeCells>
  <printOptions horizontalCentered="1"/>
  <pageMargins left="0.51181102362204722" right="0.51181102362204722" top="0.78740157480314965" bottom="0.78740157480314965" header="0.31496062992125984" footer="0.31496062992125984"/>
  <pageSetup paperSize="9" scale="70" orientation="landscape"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N39"/>
  <sheetViews>
    <sheetView view="pageBreakPreview" zoomScaleNormal="85" zoomScaleSheetLayoutView="100" workbookViewId="0">
      <selection activeCell="A8" sqref="A8"/>
    </sheetView>
  </sheetViews>
  <sheetFormatPr defaultRowHeight="12.75" x14ac:dyDescent="0.2"/>
  <cols>
    <col min="1" max="1" width="9.28515625" style="2" bestFit="1" customWidth="1"/>
    <col min="2" max="7" width="9.140625" style="2"/>
    <col min="8" max="8" width="9.28515625" style="2" bestFit="1" customWidth="1"/>
    <col min="9" max="9" width="11.42578125" style="2" bestFit="1" customWidth="1"/>
    <col min="10" max="10" width="9.140625" style="2"/>
    <col min="11" max="11" width="11.5703125" style="2" bestFit="1" customWidth="1"/>
    <col min="12" max="16384" width="9.140625" style="2"/>
  </cols>
  <sheetData>
    <row r="1" spans="1:14" s="37" customFormat="1" ht="15" customHeight="1" x14ac:dyDescent="0.2">
      <c r="A1" s="830"/>
      <c r="B1" s="831"/>
      <c r="C1" s="831"/>
      <c r="D1" s="831"/>
      <c r="E1" s="831"/>
      <c r="F1" s="831"/>
      <c r="G1" s="831"/>
      <c r="H1" s="831"/>
      <c r="I1" s="831"/>
      <c r="J1" s="831"/>
      <c r="K1" s="832"/>
      <c r="L1" s="512"/>
      <c r="M1" s="512"/>
    </row>
    <row r="2" spans="1:14" s="37" customFormat="1" ht="15" customHeight="1" x14ac:dyDescent="0.2">
      <c r="A2" s="833" t="s">
        <v>19</v>
      </c>
      <c r="B2" s="834"/>
      <c r="C2" s="834"/>
      <c r="D2" s="834"/>
      <c r="E2" s="834"/>
      <c r="F2" s="834"/>
      <c r="G2" s="834"/>
      <c r="H2" s="834"/>
      <c r="I2" s="834"/>
      <c r="J2" s="834"/>
      <c r="K2" s="835"/>
      <c r="L2" s="512"/>
      <c r="M2" s="512"/>
    </row>
    <row r="3" spans="1:14" s="37" customFormat="1" ht="15" customHeight="1" x14ac:dyDescent="0.2">
      <c r="A3" s="836" t="s">
        <v>193</v>
      </c>
      <c r="B3" s="837"/>
      <c r="C3" s="837"/>
      <c r="D3" s="837"/>
      <c r="E3" s="837"/>
      <c r="F3" s="837"/>
      <c r="G3" s="837"/>
      <c r="H3" s="837"/>
      <c r="I3" s="837"/>
      <c r="J3" s="837"/>
      <c r="K3" s="838"/>
      <c r="L3" s="512"/>
      <c r="M3" s="512"/>
    </row>
    <row r="4" spans="1:14" s="37" customFormat="1" ht="15" customHeight="1" x14ac:dyDescent="0.2">
      <c r="A4" s="836" t="s">
        <v>18</v>
      </c>
      <c r="B4" s="837"/>
      <c r="C4" s="837"/>
      <c r="D4" s="837"/>
      <c r="E4" s="837"/>
      <c r="F4" s="837"/>
      <c r="G4" s="837"/>
      <c r="H4" s="837"/>
      <c r="I4" s="837"/>
      <c r="J4" s="837"/>
      <c r="K4" s="838"/>
      <c r="L4" s="512"/>
      <c r="M4" s="512"/>
    </row>
    <row r="5" spans="1:14" s="37" customFormat="1" ht="15" customHeight="1" thickBot="1" x14ac:dyDescent="0.25">
      <c r="A5" s="839"/>
      <c r="B5" s="840"/>
      <c r="C5" s="840"/>
      <c r="D5" s="840"/>
      <c r="E5" s="840"/>
      <c r="F5" s="840"/>
      <c r="G5" s="840"/>
      <c r="H5" s="840"/>
      <c r="I5" s="840"/>
      <c r="J5" s="840"/>
      <c r="K5" s="841"/>
      <c r="L5" s="512"/>
      <c r="M5" s="512"/>
    </row>
    <row r="6" spans="1:14" s="38" customFormat="1" ht="20.100000000000001" customHeight="1" thickTop="1" thickBot="1" x14ac:dyDescent="0.25">
      <c r="A6" s="513" t="s">
        <v>622</v>
      </c>
      <c r="B6" s="514" t="s">
        <v>429</v>
      </c>
      <c r="C6" s="515" t="s">
        <v>430</v>
      </c>
      <c r="D6" s="516"/>
      <c r="E6" s="516"/>
      <c r="F6" s="516"/>
      <c r="G6" s="517"/>
      <c r="H6" s="516"/>
      <c r="I6" s="516"/>
      <c r="J6" s="842" t="s">
        <v>431</v>
      </c>
      <c r="K6" s="843"/>
      <c r="L6" s="518"/>
      <c r="M6" s="518"/>
    </row>
    <row r="7" spans="1:14" s="38" customFormat="1" ht="53.25" customHeight="1" thickTop="1" x14ac:dyDescent="0.2">
      <c r="A7" s="844" t="str">
        <f>'ORÇAMENTO GERAL'!C7</f>
        <v>EXECUÇÃO DOS SERVIÇOS DE DRENAGEM SUPERFICIAL E DRENAGEM PROFUNDA  NA TRAVESSA BEIRA RIO E RUA MOCAJATUBA - NO DISTRITO INDUSTRIAL  NO MUNICÍPIO DE ANANINDEUA (PA).</v>
      </c>
      <c r="B7" s="845"/>
      <c r="C7" s="845"/>
      <c r="D7" s="845"/>
      <c r="E7" s="845"/>
      <c r="F7" s="845"/>
      <c r="G7" s="845"/>
      <c r="H7" s="845"/>
      <c r="I7" s="845"/>
      <c r="J7" s="845"/>
      <c r="K7" s="846"/>
      <c r="L7" s="518"/>
      <c r="M7" s="518"/>
    </row>
    <row r="8" spans="1:14" s="38" customFormat="1" ht="25.5" x14ac:dyDescent="0.2">
      <c r="A8" s="107" t="s">
        <v>690</v>
      </c>
      <c r="B8" s="847" t="s">
        <v>194</v>
      </c>
      <c r="C8" s="848"/>
      <c r="D8" s="848"/>
      <c r="E8" s="848"/>
      <c r="F8" s="849"/>
      <c r="G8" s="39" t="s">
        <v>22</v>
      </c>
      <c r="H8" s="39" t="s">
        <v>195</v>
      </c>
      <c r="I8" s="39" t="s">
        <v>196</v>
      </c>
      <c r="J8" s="40" t="s">
        <v>197</v>
      </c>
      <c r="K8" s="108"/>
      <c r="L8" s="518"/>
      <c r="M8" s="518"/>
    </row>
    <row r="9" spans="1:14" s="470" customFormat="1" ht="24.95" customHeight="1" x14ac:dyDescent="0.2">
      <c r="A9" s="41">
        <v>90778</v>
      </c>
      <c r="B9" s="850" t="s">
        <v>432</v>
      </c>
      <c r="C9" s="851"/>
      <c r="D9" s="851"/>
      <c r="E9" s="851"/>
      <c r="F9" s="852"/>
      <c r="G9" s="42" t="s">
        <v>43</v>
      </c>
      <c r="H9" s="351">
        <f>G25</f>
        <v>120</v>
      </c>
      <c r="I9" s="505">
        <v>102.65</v>
      </c>
      <c r="J9" s="44"/>
      <c r="K9" s="45">
        <f>ROUND(H9*I9,2)</f>
        <v>12318</v>
      </c>
      <c r="L9" s="518"/>
      <c r="M9" s="518"/>
    </row>
    <row r="10" spans="1:14" s="470" customFormat="1" ht="24.95" customHeight="1" thickBot="1" x14ac:dyDescent="0.25">
      <c r="A10" s="41">
        <v>90776</v>
      </c>
      <c r="B10" s="850" t="s">
        <v>433</v>
      </c>
      <c r="C10" s="851"/>
      <c r="D10" s="851"/>
      <c r="E10" s="851"/>
      <c r="F10" s="852"/>
      <c r="G10" s="42" t="s">
        <v>43</v>
      </c>
      <c r="H10" s="351">
        <f>G26</f>
        <v>420</v>
      </c>
      <c r="I10" s="43">
        <v>20.190000000000001</v>
      </c>
      <c r="J10" s="44"/>
      <c r="K10" s="45">
        <f>ROUND(H10*I10,2)</f>
        <v>8479.7999999999993</v>
      </c>
      <c r="L10" s="518"/>
      <c r="M10" s="518"/>
    </row>
    <row r="11" spans="1:14" s="38" customFormat="1" ht="24.95" hidden="1" customHeight="1" x14ac:dyDescent="0.2">
      <c r="A11" s="41">
        <v>88326</v>
      </c>
      <c r="B11" s="853" t="s">
        <v>434</v>
      </c>
      <c r="C11" s="854"/>
      <c r="D11" s="854"/>
      <c r="E11" s="854"/>
      <c r="F11" s="855"/>
      <c r="G11" s="42" t="s">
        <v>43</v>
      </c>
      <c r="H11" s="351">
        <f>G27</f>
        <v>0</v>
      </c>
      <c r="I11" s="43">
        <v>19.07</v>
      </c>
      <c r="J11" s="44"/>
      <c r="K11" s="45">
        <f>ROUND(H11*I11,2)</f>
        <v>0</v>
      </c>
      <c r="L11" s="518"/>
      <c r="M11" s="518"/>
    </row>
    <row r="12" spans="1:14" s="38" customFormat="1" ht="20.100000000000001" customHeight="1" thickBot="1" x14ac:dyDescent="0.25">
      <c r="A12" s="46"/>
      <c r="B12" s="44"/>
      <c r="C12" s="44"/>
      <c r="D12" s="44"/>
      <c r="E12" s="44"/>
      <c r="F12" s="44"/>
      <c r="G12" s="47"/>
      <c r="H12" s="519" t="s">
        <v>199</v>
      </c>
      <c r="I12" s="520"/>
      <c r="J12" s="521"/>
      <c r="K12" s="522">
        <f>SUM(K9:K11)</f>
        <v>20797.8</v>
      </c>
      <c r="L12" s="518"/>
      <c r="M12" s="518"/>
    </row>
    <row r="13" spans="1:14" s="38" customFormat="1" ht="20.100000000000001" customHeight="1" x14ac:dyDescent="0.2">
      <c r="A13" s="52"/>
      <c r="B13" s="827" t="s">
        <v>200</v>
      </c>
      <c r="C13" s="828"/>
      <c r="D13" s="828"/>
      <c r="E13" s="828"/>
      <c r="F13" s="829"/>
      <c r="G13" s="53" t="s">
        <v>22</v>
      </c>
      <c r="H13" s="54" t="s">
        <v>201</v>
      </c>
      <c r="I13" s="53" t="s">
        <v>202</v>
      </c>
      <c r="J13" s="55" t="s">
        <v>197</v>
      </c>
      <c r="K13" s="56"/>
      <c r="L13" s="518"/>
      <c r="M13" s="518"/>
    </row>
    <row r="14" spans="1:14" s="38" customFormat="1" ht="20.100000000000001" customHeight="1" thickBot="1" x14ac:dyDescent="0.25">
      <c r="A14" s="57"/>
      <c r="B14" s="58"/>
      <c r="C14" s="59"/>
      <c r="D14" s="59"/>
      <c r="E14" s="59"/>
      <c r="F14" s="59"/>
      <c r="G14" s="60"/>
      <c r="H14" s="352"/>
      <c r="I14" s="353"/>
      <c r="J14" s="59"/>
      <c r="K14" s="45"/>
      <c r="L14" s="518"/>
      <c r="M14" s="518"/>
    </row>
    <row r="15" spans="1:14" s="38" customFormat="1" ht="20.100000000000001" customHeight="1" thickBot="1" x14ac:dyDescent="0.25">
      <c r="A15" s="46" t="s">
        <v>203</v>
      </c>
      <c r="B15" s="44"/>
      <c r="C15" s="44"/>
      <c r="D15" s="44"/>
      <c r="E15" s="44"/>
      <c r="F15" s="44"/>
      <c r="G15" s="47"/>
      <c r="H15" s="519" t="s">
        <v>204</v>
      </c>
      <c r="I15" s="523"/>
      <c r="J15" s="524"/>
      <c r="K15" s="522">
        <f>SUM(K14:K14)</f>
        <v>0</v>
      </c>
      <c r="L15" s="518"/>
      <c r="M15" s="518"/>
      <c r="N15" s="38" t="s">
        <v>675</v>
      </c>
    </row>
    <row r="16" spans="1:14" s="38" customFormat="1" ht="20.100000000000001" customHeight="1" x14ac:dyDescent="0.2">
      <c r="A16" s="52"/>
      <c r="B16" s="859" t="s">
        <v>205</v>
      </c>
      <c r="C16" s="860"/>
      <c r="D16" s="860"/>
      <c r="E16" s="860"/>
      <c r="F16" s="861"/>
      <c r="G16" s="53" t="s">
        <v>22</v>
      </c>
      <c r="H16" s="54" t="s">
        <v>201</v>
      </c>
      <c r="I16" s="53" t="s">
        <v>202</v>
      </c>
      <c r="J16" s="55" t="s">
        <v>197</v>
      </c>
      <c r="K16" s="56"/>
      <c r="L16" s="518"/>
      <c r="M16" s="518"/>
    </row>
    <row r="17" spans="1:13" s="38" customFormat="1" ht="20.100000000000001" customHeight="1" thickBot="1" x14ac:dyDescent="0.25">
      <c r="A17" s="57"/>
      <c r="B17" s="58"/>
      <c r="C17" s="59"/>
      <c r="D17" s="59"/>
      <c r="E17" s="59"/>
      <c r="F17" s="59"/>
      <c r="G17" s="60"/>
      <c r="H17" s="352"/>
      <c r="I17" s="353"/>
      <c r="J17" s="59"/>
      <c r="K17" s="45"/>
      <c r="L17" s="518"/>
      <c r="M17" s="518"/>
    </row>
    <row r="18" spans="1:13" s="38" customFormat="1" ht="20.100000000000001" customHeight="1" thickBot="1" x14ac:dyDescent="0.25">
      <c r="A18" s="63" t="s">
        <v>203</v>
      </c>
      <c r="B18" s="44"/>
      <c r="C18" s="44"/>
      <c r="D18" s="44"/>
      <c r="E18" s="44"/>
      <c r="F18" s="44"/>
      <c r="G18" s="47"/>
      <c r="H18" s="519" t="s">
        <v>207</v>
      </c>
      <c r="I18" s="523"/>
      <c r="J18" s="524"/>
      <c r="K18" s="522">
        <f>SUM(K17:K17)</f>
        <v>0</v>
      </c>
      <c r="L18" s="518"/>
      <c r="M18" s="518"/>
    </row>
    <row r="19" spans="1:13" s="38" customFormat="1" ht="20.100000000000001" customHeight="1" x14ac:dyDescent="0.2">
      <c r="A19" s="862" t="s">
        <v>208</v>
      </c>
      <c r="B19" s="863"/>
      <c r="C19" s="863"/>
      <c r="D19" s="863"/>
      <c r="E19" s="863"/>
      <c r="F19" s="863"/>
      <c r="G19" s="863"/>
      <c r="H19" s="863"/>
      <c r="I19" s="863"/>
      <c r="J19" s="864"/>
      <c r="K19" s="64">
        <f>SUM(K12+K15+K18)</f>
        <v>20797.8</v>
      </c>
      <c r="L19" s="518"/>
      <c r="M19" s="518"/>
    </row>
    <row r="20" spans="1:13" s="38" customFormat="1" ht="20.100000000000001" customHeight="1" thickBot="1" x14ac:dyDescent="0.25">
      <c r="A20" s="865" t="s">
        <v>209</v>
      </c>
      <c r="B20" s="866"/>
      <c r="C20" s="866"/>
      <c r="D20" s="866"/>
      <c r="E20" s="866"/>
      <c r="F20" s="866"/>
      <c r="G20" s="866"/>
      <c r="H20" s="866"/>
      <c r="I20" s="866"/>
      <c r="J20" s="354">
        <v>0.27460000000000001</v>
      </c>
      <c r="K20" s="69">
        <f>J20*K19</f>
        <v>5711.08</v>
      </c>
      <c r="L20" s="518"/>
      <c r="M20" s="518"/>
    </row>
    <row r="21" spans="1:13" s="38" customFormat="1" ht="20.100000000000001" customHeight="1" thickBot="1" x14ac:dyDescent="0.25">
      <c r="A21" s="525" t="s">
        <v>210</v>
      </c>
      <c r="B21" s="526"/>
      <c r="C21" s="526"/>
      <c r="D21" s="526"/>
      <c r="E21" s="526"/>
      <c r="F21" s="526"/>
      <c r="G21" s="527"/>
      <c r="H21" s="526"/>
      <c r="I21" s="526"/>
      <c r="J21" s="528"/>
      <c r="K21" s="529">
        <f>SUM(K19:K20)</f>
        <v>26508.880000000001</v>
      </c>
      <c r="L21" s="518"/>
      <c r="M21" s="518"/>
    </row>
    <row r="22" spans="1:13" x14ac:dyDescent="0.2">
      <c r="A22" s="530"/>
      <c r="B22" s="530"/>
      <c r="C22" s="530"/>
      <c r="D22" s="530"/>
      <c r="E22" s="530"/>
      <c r="F22" s="530"/>
      <c r="G22" s="530"/>
      <c r="H22" s="530"/>
      <c r="I22" s="530"/>
      <c r="J22" s="530"/>
      <c r="K22" s="530"/>
      <c r="L22" s="530"/>
      <c r="M22" s="530"/>
    </row>
    <row r="23" spans="1:13" x14ac:dyDescent="0.2">
      <c r="A23" s="867" t="s">
        <v>256</v>
      </c>
      <c r="B23" s="867"/>
      <c r="C23" s="867"/>
      <c r="D23" s="867"/>
      <c r="E23" s="867"/>
      <c r="F23" s="867"/>
      <c r="G23" s="867"/>
      <c r="H23" s="530"/>
      <c r="I23" s="530"/>
      <c r="J23" s="530"/>
      <c r="K23" s="530"/>
      <c r="L23" s="530"/>
      <c r="M23" s="530"/>
    </row>
    <row r="24" spans="1:13" ht="15" x14ac:dyDescent="0.25">
      <c r="A24" s="868" t="s">
        <v>257</v>
      </c>
      <c r="B24" s="869"/>
      <c r="C24" s="531" t="s">
        <v>259</v>
      </c>
      <c r="D24" s="532" t="s">
        <v>260</v>
      </c>
      <c r="E24" s="870" t="s">
        <v>261</v>
      </c>
      <c r="F24" s="871"/>
      <c r="G24" s="533"/>
      <c r="H24" s="530"/>
      <c r="I24" s="530"/>
      <c r="J24" s="530"/>
      <c r="K24" s="530"/>
      <c r="L24" s="530"/>
      <c r="M24" s="530"/>
    </row>
    <row r="25" spans="1:13" ht="15" x14ac:dyDescent="0.25">
      <c r="A25" s="856" t="s">
        <v>435</v>
      </c>
      <c r="B25" s="856"/>
      <c r="C25" s="534">
        <v>2</v>
      </c>
      <c r="D25" s="531">
        <v>20</v>
      </c>
      <c r="E25" s="531">
        <v>3</v>
      </c>
      <c r="F25" s="533" t="s">
        <v>236</v>
      </c>
      <c r="G25" s="533">
        <f>ROUND((C25*D25*E25),2)</f>
        <v>120</v>
      </c>
      <c r="H25" s="530"/>
      <c r="I25" s="530"/>
      <c r="J25" s="530"/>
      <c r="K25" s="530"/>
      <c r="L25" s="530"/>
      <c r="M25" s="530"/>
    </row>
    <row r="26" spans="1:13" ht="15" x14ac:dyDescent="0.25">
      <c r="A26" s="856" t="s">
        <v>436</v>
      </c>
      <c r="B26" s="856"/>
      <c r="C26" s="534">
        <v>7</v>
      </c>
      <c r="D26" s="531">
        <v>20</v>
      </c>
      <c r="E26" s="531">
        <v>3</v>
      </c>
      <c r="F26" s="533" t="s">
        <v>236</v>
      </c>
      <c r="G26" s="533">
        <f>ROUND((C26*D26*E26),2)</f>
        <v>420</v>
      </c>
      <c r="H26" s="530"/>
      <c r="I26" s="530"/>
      <c r="J26" s="530"/>
      <c r="K26" s="530"/>
      <c r="L26" s="530"/>
      <c r="M26" s="530"/>
    </row>
    <row r="27" spans="1:13" ht="15" hidden="1" x14ac:dyDescent="0.25">
      <c r="A27" s="857" t="s">
        <v>437</v>
      </c>
      <c r="B27" s="858"/>
      <c r="C27" s="534"/>
      <c r="D27" s="531">
        <v>20</v>
      </c>
      <c r="E27" s="531">
        <v>3</v>
      </c>
      <c r="F27" s="533" t="s">
        <v>236</v>
      </c>
      <c r="G27" s="533">
        <f>ROUND((C27*D27*E27),2)</f>
        <v>0</v>
      </c>
      <c r="H27" s="530"/>
      <c r="I27" s="530"/>
      <c r="J27" s="530"/>
      <c r="K27" s="530"/>
      <c r="L27" s="530"/>
      <c r="M27" s="530"/>
    </row>
    <row r="28" spans="1:13" x14ac:dyDescent="0.2">
      <c r="A28" s="530"/>
      <c r="B28" s="530"/>
      <c r="C28" s="530"/>
      <c r="D28" s="530"/>
      <c r="E28" s="530"/>
      <c r="F28" s="530"/>
      <c r="G28" s="530"/>
      <c r="H28" s="530"/>
      <c r="I28" s="530"/>
      <c r="J28" s="530"/>
      <c r="K28" s="530"/>
      <c r="L28" s="530"/>
      <c r="M28" s="530"/>
    </row>
    <row r="29" spans="1:13" x14ac:dyDescent="0.2">
      <c r="A29" s="530"/>
      <c r="B29" s="530"/>
      <c r="C29" s="530"/>
      <c r="D29" s="530"/>
      <c r="E29" s="530"/>
      <c r="F29" s="530"/>
      <c r="G29" s="530"/>
      <c r="H29" s="530"/>
      <c r="I29" s="530"/>
      <c r="J29" s="530"/>
      <c r="K29" s="530"/>
      <c r="L29" s="530"/>
      <c r="M29" s="530"/>
    </row>
    <row r="30" spans="1:13" x14ac:dyDescent="0.2">
      <c r="A30" s="530"/>
      <c r="B30" s="530"/>
      <c r="C30" s="530"/>
      <c r="D30" s="530"/>
      <c r="E30" s="530"/>
      <c r="F30" s="530"/>
      <c r="G30" s="530"/>
      <c r="H30" s="530"/>
      <c r="I30" s="530"/>
      <c r="J30" s="530"/>
      <c r="K30" s="530"/>
      <c r="L30" s="530"/>
      <c r="M30" s="530"/>
    </row>
    <row r="31" spans="1:13" x14ac:dyDescent="0.2">
      <c r="A31" s="530"/>
      <c r="B31" s="530"/>
      <c r="C31" s="530"/>
      <c r="D31" s="530"/>
      <c r="E31" s="530"/>
      <c r="F31" s="530"/>
      <c r="G31" s="530"/>
      <c r="H31" s="530"/>
      <c r="I31" s="530"/>
      <c r="J31" s="530"/>
      <c r="K31" s="530"/>
      <c r="L31" s="530"/>
      <c r="M31" s="530"/>
    </row>
    <row r="32" spans="1:13" x14ac:dyDescent="0.2">
      <c r="A32" s="530"/>
      <c r="B32" s="530"/>
      <c r="C32" s="530"/>
      <c r="D32" s="530"/>
      <c r="E32" s="530"/>
      <c r="F32" s="530"/>
      <c r="G32" s="530"/>
      <c r="H32" s="530"/>
      <c r="I32" s="530"/>
      <c r="J32" s="530"/>
      <c r="K32" s="530"/>
      <c r="L32" s="530"/>
      <c r="M32" s="530"/>
    </row>
    <row r="33" spans="1:13" x14ac:dyDescent="0.2">
      <c r="A33" s="530"/>
      <c r="B33" s="530"/>
      <c r="C33" s="530"/>
      <c r="D33" s="530"/>
      <c r="E33" s="530"/>
      <c r="F33" s="530"/>
      <c r="G33" s="530"/>
      <c r="H33" s="530"/>
      <c r="I33" s="530"/>
      <c r="J33" s="530"/>
      <c r="K33" s="530"/>
      <c r="L33" s="530"/>
      <c r="M33" s="530"/>
    </row>
    <row r="34" spans="1:13" x14ac:dyDescent="0.2">
      <c r="A34" s="530"/>
      <c r="B34" s="530"/>
      <c r="C34" s="530"/>
      <c r="D34" s="530"/>
      <c r="E34" s="530"/>
      <c r="F34" s="530"/>
      <c r="G34" s="530"/>
      <c r="H34" s="530"/>
      <c r="I34" s="530"/>
      <c r="J34" s="530"/>
      <c r="K34" s="530"/>
      <c r="L34" s="530"/>
      <c r="M34" s="530"/>
    </row>
    <row r="35" spans="1:13" x14ac:dyDescent="0.2">
      <c r="A35" s="530"/>
      <c r="B35" s="530"/>
      <c r="C35" s="530"/>
      <c r="D35" s="530"/>
      <c r="E35" s="530"/>
      <c r="F35" s="530"/>
      <c r="G35" s="530"/>
      <c r="H35" s="530"/>
      <c r="I35" s="530"/>
      <c r="J35" s="530"/>
      <c r="K35" s="530"/>
      <c r="L35" s="530"/>
      <c r="M35" s="530"/>
    </row>
    <row r="36" spans="1:13" x14ac:dyDescent="0.2">
      <c r="A36" s="530"/>
      <c r="B36" s="530"/>
      <c r="C36" s="530"/>
      <c r="D36" s="530"/>
      <c r="E36" s="530"/>
      <c r="F36" s="530"/>
      <c r="G36" s="530"/>
      <c r="H36" s="530"/>
      <c r="I36" s="530"/>
      <c r="J36" s="530"/>
      <c r="K36" s="530"/>
      <c r="L36" s="530"/>
      <c r="M36" s="530"/>
    </row>
    <row r="37" spans="1:13" x14ac:dyDescent="0.2">
      <c r="A37" s="530"/>
      <c r="B37" s="530"/>
      <c r="C37" s="530"/>
      <c r="D37" s="530"/>
      <c r="E37" s="530"/>
      <c r="F37" s="530"/>
      <c r="G37" s="530"/>
      <c r="H37" s="530"/>
      <c r="I37" s="530"/>
      <c r="J37" s="530"/>
      <c r="K37" s="530"/>
      <c r="L37" s="530"/>
      <c r="M37" s="530"/>
    </row>
    <row r="38" spans="1:13" x14ac:dyDescent="0.2">
      <c r="A38" s="530"/>
      <c r="B38" s="530"/>
      <c r="C38" s="530"/>
      <c r="D38" s="530"/>
      <c r="E38" s="530"/>
      <c r="F38" s="530"/>
      <c r="G38" s="530"/>
      <c r="H38" s="530"/>
      <c r="I38" s="530"/>
      <c r="J38" s="530"/>
      <c r="K38" s="530"/>
      <c r="L38" s="530"/>
      <c r="M38" s="530"/>
    </row>
    <row r="39" spans="1:13" x14ac:dyDescent="0.2">
      <c r="A39" s="530"/>
      <c r="B39" s="530"/>
      <c r="C39" s="530"/>
      <c r="D39" s="530"/>
      <c r="E39" s="530"/>
      <c r="F39" s="530"/>
      <c r="G39" s="530"/>
      <c r="H39" s="530"/>
      <c r="I39" s="530"/>
      <c r="J39" s="530"/>
      <c r="K39" s="530"/>
      <c r="L39" s="530"/>
      <c r="M39" s="530"/>
    </row>
  </sheetData>
  <mergeCells count="21">
    <mergeCell ref="A25:B25"/>
    <mergeCell ref="A26:B26"/>
    <mergeCell ref="A27:B27"/>
    <mergeCell ref="B16:F16"/>
    <mergeCell ref="A19:J19"/>
    <mergeCell ref="A20:I20"/>
    <mergeCell ref="A23:G23"/>
    <mergeCell ref="A24:B24"/>
    <mergeCell ref="E24:F24"/>
    <mergeCell ref="B13:F13"/>
    <mergeCell ref="A1:K1"/>
    <mergeCell ref="A2:K2"/>
    <mergeCell ref="A3:K3"/>
    <mergeCell ref="A4:K4"/>
    <mergeCell ref="A5:K5"/>
    <mergeCell ref="J6:K6"/>
    <mergeCell ref="A7:K7"/>
    <mergeCell ref="B8:F8"/>
    <mergeCell ref="B9:F9"/>
    <mergeCell ref="B10:F10"/>
    <mergeCell ref="B11:F11"/>
  </mergeCells>
  <printOptions horizontalCentered="1"/>
  <pageMargins left="0.51181102362204722" right="0.51181102362204722" top="0.78740157480314965" bottom="0.78740157480314965" header="0.31496062992125984" footer="0.31496062992125984"/>
  <pageSetup paperSize="9" scale="7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46"/>
  <sheetViews>
    <sheetView view="pageBreakPreview" zoomScaleNormal="100" zoomScaleSheetLayoutView="100" workbookViewId="0">
      <selection activeCell="F39" sqref="F39"/>
    </sheetView>
  </sheetViews>
  <sheetFormatPr defaultRowHeight="12.75" x14ac:dyDescent="0.2"/>
  <cols>
    <col min="1" max="1" width="6.7109375" style="31" customWidth="1"/>
    <col min="2" max="2" width="9.7109375" style="31" bestFit="1" customWidth="1"/>
    <col min="3" max="4" width="13.7109375" style="31" customWidth="1"/>
    <col min="5" max="7" width="11.7109375" style="31" customWidth="1"/>
    <col min="8" max="8" width="17" style="31" customWidth="1"/>
    <col min="9" max="16384" width="9.140625" style="31"/>
  </cols>
  <sheetData>
    <row r="1" spans="1:9" x14ac:dyDescent="0.2">
      <c r="A1" s="535"/>
      <c r="B1" s="536"/>
      <c r="C1" s="536"/>
      <c r="D1" s="536"/>
      <c r="E1" s="536"/>
      <c r="F1" s="536"/>
      <c r="G1" s="536"/>
      <c r="H1" s="537"/>
      <c r="I1" s="538"/>
    </row>
    <row r="2" spans="1:9" x14ac:dyDescent="0.2">
      <c r="A2" s="907" t="s">
        <v>19</v>
      </c>
      <c r="B2" s="908"/>
      <c r="C2" s="908"/>
      <c r="D2" s="908"/>
      <c r="E2" s="908"/>
      <c r="F2" s="908"/>
      <c r="G2" s="908"/>
      <c r="H2" s="909"/>
      <c r="I2" s="538"/>
    </row>
    <row r="3" spans="1:9" x14ac:dyDescent="0.2">
      <c r="A3" s="910" t="s">
        <v>193</v>
      </c>
      <c r="B3" s="911"/>
      <c r="C3" s="911"/>
      <c r="D3" s="911"/>
      <c r="E3" s="911"/>
      <c r="F3" s="911"/>
      <c r="G3" s="911"/>
      <c r="H3" s="912"/>
      <c r="I3" s="538"/>
    </row>
    <row r="4" spans="1:9" x14ac:dyDescent="0.2">
      <c r="A4" s="913" t="s">
        <v>18</v>
      </c>
      <c r="B4" s="914"/>
      <c r="C4" s="914"/>
      <c r="D4" s="914"/>
      <c r="E4" s="914"/>
      <c r="F4" s="914"/>
      <c r="G4" s="914"/>
      <c r="H4" s="915"/>
      <c r="I4" s="538"/>
    </row>
    <row r="5" spans="1:9" ht="13.5" thickBot="1" x14ac:dyDescent="0.25">
      <c r="A5" s="916"/>
      <c r="B5" s="917"/>
      <c r="C5" s="917"/>
      <c r="D5" s="917"/>
      <c r="E5" s="917"/>
      <c r="F5" s="917"/>
      <c r="G5" s="917"/>
      <c r="H5" s="918"/>
      <c r="I5" s="538"/>
    </row>
    <row r="6" spans="1:9" ht="27" thickTop="1" thickBot="1" x14ac:dyDescent="0.25">
      <c r="A6" s="539" t="s">
        <v>623</v>
      </c>
      <c r="B6" s="540" t="s">
        <v>721</v>
      </c>
      <c r="C6" s="919" t="s">
        <v>446</v>
      </c>
      <c r="D6" s="919"/>
      <c r="E6" s="919"/>
      <c r="F6" s="919"/>
      <c r="G6" s="919"/>
      <c r="H6" s="541" t="s">
        <v>253</v>
      </c>
      <c r="I6" s="538"/>
    </row>
    <row r="7" spans="1:9" ht="29.25" customHeight="1" thickTop="1" x14ac:dyDescent="0.2">
      <c r="A7" s="899" t="str">
        <f>'ORÇAMENTO GERAL'!C7</f>
        <v>EXECUÇÃO DOS SERVIÇOS DE DRENAGEM SUPERFICIAL E DRENAGEM PROFUNDA  NA TRAVESSA BEIRA RIO E RUA MOCAJATUBA - NO DISTRITO INDUSTRIAL  NO MUNICÍPIO DE ANANINDEUA (PA).</v>
      </c>
      <c r="B7" s="900"/>
      <c r="C7" s="900"/>
      <c r="D7" s="900"/>
      <c r="E7" s="900"/>
      <c r="F7" s="900"/>
      <c r="G7" s="900"/>
      <c r="H7" s="901"/>
      <c r="I7" s="538"/>
    </row>
    <row r="8" spans="1:9" s="33" customFormat="1" ht="20.100000000000001" customHeight="1" x14ac:dyDescent="0.2">
      <c r="A8" s="902" t="s">
        <v>35</v>
      </c>
      <c r="B8" s="903"/>
      <c r="C8" s="903"/>
      <c r="D8" s="903"/>
      <c r="E8" s="903"/>
      <c r="F8" s="903"/>
      <c r="G8" s="903"/>
      <c r="H8" s="904"/>
      <c r="I8" s="542"/>
    </row>
    <row r="9" spans="1:9" s="33" customFormat="1" ht="20.100000000000001" customHeight="1" x14ac:dyDescent="0.2">
      <c r="A9" s="18" t="s">
        <v>36</v>
      </c>
      <c r="B9" s="23"/>
      <c r="C9" s="882" t="s">
        <v>37</v>
      </c>
      <c r="D9" s="883"/>
      <c r="E9" s="23" t="s">
        <v>38</v>
      </c>
      <c r="F9" s="8" t="s">
        <v>160</v>
      </c>
      <c r="G9" s="9" t="s">
        <v>39</v>
      </c>
      <c r="H9" s="19" t="s">
        <v>40</v>
      </c>
      <c r="I9" s="542"/>
    </row>
    <row r="10" spans="1:9" s="469" customFormat="1" ht="25.5" customHeight="1" x14ac:dyDescent="0.2">
      <c r="A10" s="16">
        <v>1</v>
      </c>
      <c r="B10" s="4" t="s">
        <v>41</v>
      </c>
      <c r="C10" s="905" t="s">
        <v>42</v>
      </c>
      <c r="D10" s="906"/>
      <c r="E10" s="23" t="s">
        <v>43</v>
      </c>
      <c r="F10" s="5">
        <f>H37</f>
        <v>320</v>
      </c>
      <c r="G10" s="509">
        <v>20.190000000000001</v>
      </c>
      <c r="H10" s="17">
        <f>ROUND(F10*G10,2)</f>
        <v>6460.8</v>
      </c>
      <c r="I10" s="542"/>
    </row>
    <row r="11" spans="1:9" s="469" customFormat="1" ht="27.75" customHeight="1" x14ac:dyDescent="0.2">
      <c r="A11" s="16">
        <v>2</v>
      </c>
      <c r="B11" s="4" t="s">
        <v>254</v>
      </c>
      <c r="C11" s="905" t="s">
        <v>255</v>
      </c>
      <c r="D11" s="906"/>
      <c r="E11" s="23" t="s">
        <v>43</v>
      </c>
      <c r="F11" s="5">
        <f>H38</f>
        <v>320</v>
      </c>
      <c r="G11" s="509">
        <v>10.73</v>
      </c>
      <c r="H11" s="17">
        <f>ROUND(F11*G11,2)</f>
        <v>3433.6</v>
      </c>
      <c r="I11" s="542"/>
    </row>
    <row r="12" spans="1:9" s="33" customFormat="1" ht="20.100000000000001" hidden="1" customHeight="1" x14ac:dyDescent="0.2">
      <c r="A12" s="16">
        <v>3</v>
      </c>
      <c r="B12" s="7"/>
      <c r="C12" s="8"/>
      <c r="D12" s="8"/>
      <c r="E12" s="23"/>
      <c r="F12" s="5"/>
      <c r="G12" s="6"/>
      <c r="H12" s="17"/>
      <c r="I12" s="542"/>
    </row>
    <row r="13" spans="1:9" s="33" customFormat="1" ht="20.100000000000001" hidden="1" customHeight="1" x14ac:dyDescent="0.2">
      <c r="A13" s="16">
        <v>4</v>
      </c>
      <c r="B13" s="7"/>
      <c r="C13" s="8"/>
      <c r="D13" s="8"/>
      <c r="E13" s="23"/>
      <c r="F13" s="5"/>
      <c r="G13" s="6"/>
      <c r="H13" s="17"/>
      <c r="I13" s="542"/>
    </row>
    <row r="14" spans="1:9" s="33" customFormat="1" ht="20.100000000000001" customHeight="1" x14ac:dyDescent="0.2">
      <c r="A14" s="884" t="s">
        <v>45</v>
      </c>
      <c r="B14" s="885"/>
      <c r="C14" s="885"/>
      <c r="D14" s="885"/>
      <c r="E14" s="885"/>
      <c r="F14" s="886">
        <f>SUM(H10:H13)</f>
        <v>9894.4</v>
      </c>
      <c r="G14" s="886"/>
      <c r="H14" s="887"/>
      <c r="I14" s="542"/>
    </row>
    <row r="15" spans="1:9" s="33" customFormat="1" ht="20.100000000000001" customHeight="1" x14ac:dyDescent="0.2">
      <c r="A15" s="889" t="s">
        <v>46</v>
      </c>
      <c r="B15" s="890"/>
      <c r="C15" s="890"/>
      <c r="D15" s="890"/>
      <c r="E15" s="890"/>
      <c r="F15" s="890"/>
      <c r="G15" s="890"/>
      <c r="H15" s="891"/>
      <c r="I15" s="542"/>
    </row>
    <row r="16" spans="1:9" s="33" customFormat="1" ht="20.100000000000001" customHeight="1" x14ac:dyDescent="0.2">
      <c r="A16" s="18" t="s">
        <v>36</v>
      </c>
      <c r="B16" s="23"/>
      <c r="C16" s="882" t="s">
        <v>37</v>
      </c>
      <c r="D16" s="883"/>
      <c r="E16" s="23" t="s">
        <v>38</v>
      </c>
      <c r="F16" s="8" t="s">
        <v>160</v>
      </c>
      <c r="G16" s="9" t="s">
        <v>39</v>
      </c>
      <c r="H16" s="19" t="s">
        <v>40</v>
      </c>
      <c r="I16" s="542"/>
    </row>
    <row r="17" spans="1:9" s="33" customFormat="1" ht="20.100000000000001" customHeight="1" x14ac:dyDescent="0.2">
      <c r="A17" s="16">
        <v>1</v>
      </c>
      <c r="B17" s="7"/>
      <c r="C17" s="882"/>
      <c r="D17" s="883"/>
      <c r="E17" s="23"/>
      <c r="F17" s="5"/>
      <c r="G17" s="6"/>
      <c r="H17" s="17">
        <f>ROUND(F17*G17,2)</f>
        <v>0</v>
      </c>
      <c r="I17" s="542"/>
    </row>
    <row r="18" spans="1:9" s="33" customFormat="1" ht="20.100000000000001" customHeight="1" x14ac:dyDescent="0.2">
      <c r="A18" s="16">
        <v>2</v>
      </c>
      <c r="B18" s="7"/>
      <c r="C18" s="882"/>
      <c r="D18" s="883"/>
      <c r="E18" s="23"/>
      <c r="F18" s="5"/>
      <c r="G18" s="6"/>
      <c r="H18" s="17"/>
      <c r="I18" s="542"/>
    </row>
    <row r="19" spans="1:9" s="33" customFormat="1" ht="20.100000000000001" customHeight="1" x14ac:dyDescent="0.2">
      <c r="A19" s="884" t="s">
        <v>47</v>
      </c>
      <c r="B19" s="885"/>
      <c r="C19" s="885"/>
      <c r="D19" s="885"/>
      <c r="E19" s="885"/>
      <c r="F19" s="886">
        <f>SUM(H17:H18)</f>
        <v>0</v>
      </c>
      <c r="G19" s="886"/>
      <c r="H19" s="887"/>
      <c r="I19" s="542"/>
    </row>
    <row r="20" spans="1:9" s="33" customFormat="1" ht="20.100000000000001" customHeight="1" x14ac:dyDescent="0.2">
      <c r="A20" s="889" t="s">
        <v>48</v>
      </c>
      <c r="B20" s="890"/>
      <c r="C20" s="890"/>
      <c r="D20" s="890"/>
      <c r="E20" s="890"/>
      <c r="F20" s="890"/>
      <c r="G20" s="890"/>
      <c r="H20" s="891"/>
      <c r="I20" s="542"/>
    </row>
    <row r="21" spans="1:9" s="33" customFormat="1" ht="20.100000000000001" customHeight="1" x14ac:dyDescent="0.2">
      <c r="A21" s="18" t="s">
        <v>36</v>
      </c>
      <c r="B21" s="23"/>
      <c r="C21" s="882" t="s">
        <v>37</v>
      </c>
      <c r="D21" s="883"/>
      <c r="E21" s="23" t="s">
        <v>38</v>
      </c>
      <c r="F21" s="8" t="s">
        <v>160</v>
      </c>
      <c r="G21" s="9" t="s">
        <v>39</v>
      </c>
      <c r="H21" s="19" t="s">
        <v>40</v>
      </c>
      <c r="I21" s="542"/>
    </row>
    <row r="22" spans="1:9" s="33" customFormat="1" ht="20.100000000000001" customHeight="1" x14ac:dyDescent="0.2">
      <c r="A22" s="16">
        <v>1</v>
      </c>
      <c r="B22" s="543"/>
      <c r="C22" s="882"/>
      <c r="D22" s="883"/>
      <c r="E22" s="23"/>
      <c r="F22" s="5"/>
      <c r="G22" s="6"/>
      <c r="H22" s="17"/>
      <c r="I22" s="542"/>
    </row>
    <row r="23" spans="1:9" s="33" customFormat="1" ht="20.100000000000001" customHeight="1" x14ac:dyDescent="0.2">
      <c r="A23" s="16">
        <v>2</v>
      </c>
      <c r="B23" s="543"/>
      <c r="C23" s="882"/>
      <c r="D23" s="883"/>
      <c r="E23" s="23"/>
      <c r="F23" s="5"/>
      <c r="G23" s="6"/>
      <c r="H23" s="17"/>
      <c r="I23" s="542"/>
    </row>
    <row r="24" spans="1:9" s="33" customFormat="1" ht="20.100000000000001" customHeight="1" x14ac:dyDescent="0.2">
      <c r="A24" s="892" t="s">
        <v>49</v>
      </c>
      <c r="B24" s="893"/>
      <c r="C24" s="893"/>
      <c r="D24" s="893"/>
      <c r="E24" s="894"/>
      <c r="F24" s="886">
        <f>SUM(H22:H23)</f>
        <v>0</v>
      </c>
      <c r="G24" s="886"/>
      <c r="H24" s="887"/>
      <c r="I24" s="542"/>
    </row>
    <row r="25" spans="1:9" s="33" customFormat="1" ht="20.100000000000001" customHeight="1" x14ac:dyDescent="0.2">
      <c r="A25" s="895" t="s">
        <v>50</v>
      </c>
      <c r="B25" s="896"/>
      <c r="C25" s="896"/>
      <c r="D25" s="896"/>
      <c r="E25" s="896"/>
      <c r="F25" s="896"/>
      <c r="G25" s="896"/>
      <c r="H25" s="897"/>
      <c r="I25" s="542"/>
    </row>
    <row r="26" spans="1:9" s="33" customFormat="1" ht="20.100000000000001" customHeight="1" x14ac:dyDescent="0.2">
      <c r="A26" s="18" t="s">
        <v>36</v>
      </c>
      <c r="B26" s="23"/>
      <c r="C26" s="23" t="s">
        <v>51</v>
      </c>
      <c r="D26" s="23"/>
      <c r="E26" s="23" t="s">
        <v>40</v>
      </c>
      <c r="F26" s="23"/>
      <c r="G26" s="544"/>
      <c r="H26" s="19"/>
      <c r="I26" s="542"/>
    </row>
    <row r="27" spans="1:9" s="33" customFormat="1" ht="20.100000000000001" customHeight="1" x14ac:dyDescent="0.2">
      <c r="A27" s="18" t="s">
        <v>52</v>
      </c>
      <c r="B27" s="23"/>
      <c r="C27" s="23" t="s">
        <v>53</v>
      </c>
      <c r="D27" s="23"/>
      <c r="E27" s="898" t="s">
        <v>54</v>
      </c>
      <c r="F27" s="898"/>
      <c r="G27" s="898"/>
      <c r="H27" s="19">
        <f>F14</f>
        <v>9894.4</v>
      </c>
      <c r="I27" s="542"/>
    </row>
    <row r="28" spans="1:9" s="33" customFormat="1" ht="20.100000000000001" customHeight="1" x14ac:dyDescent="0.2">
      <c r="A28" s="18" t="s">
        <v>55</v>
      </c>
      <c r="B28" s="23"/>
      <c r="C28" s="23" t="s">
        <v>56</v>
      </c>
      <c r="D28" s="23"/>
      <c r="E28" s="898" t="s">
        <v>57</v>
      </c>
      <c r="F28" s="898"/>
      <c r="G28" s="898"/>
      <c r="H28" s="19">
        <f>F19</f>
        <v>0</v>
      </c>
      <c r="I28" s="542"/>
    </row>
    <row r="29" spans="1:9" s="33" customFormat="1" ht="20.100000000000001" customHeight="1" x14ac:dyDescent="0.2">
      <c r="A29" s="18" t="s">
        <v>15</v>
      </c>
      <c r="B29" s="23"/>
      <c r="C29" s="23" t="s">
        <v>58</v>
      </c>
      <c r="D29" s="23"/>
      <c r="E29" s="898" t="s">
        <v>59</v>
      </c>
      <c r="F29" s="898"/>
      <c r="G29" s="898"/>
      <c r="H29" s="19">
        <f>F24</f>
        <v>0</v>
      </c>
      <c r="I29" s="542"/>
    </row>
    <row r="30" spans="1:9" s="33" customFormat="1" ht="20.100000000000001" customHeight="1" x14ac:dyDescent="0.2">
      <c r="A30" s="18" t="s">
        <v>9</v>
      </c>
      <c r="B30" s="23"/>
      <c r="C30" s="10" t="s">
        <v>60</v>
      </c>
      <c r="D30" s="10"/>
      <c r="E30" s="888" t="s">
        <v>61</v>
      </c>
      <c r="F30" s="888"/>
      <c r="G30" s="888"/>
      <c r="H30" s="24">
        <f>H27+H28+H29</f>
        <v>9894.4</v>
      </c>
      <c r="I30" s="542"/>
    </row>
    <row r="31" spans="1:9" s="33" customFormat="1" ht="20.100000000000001" customHeight="1" x14ac:dyDescent="0.2">
      <c r="A31" s="18" t="s">
        <v>62</v>
      </c>
      <c r="B31" s="23"/>
      <c r="C31" s="10" t="s">
        <v>63</v>
      </c>
      <c r="D31" s="118"/>
      <c r="E31" s="11" t="s">
        <v>209</v>
      </c>
      <c r="F31" s="12"/>
      <c r="G31" s="259">
        <v>0.27460000000000001</v>
      </c>
      <c r="H31" s="545">
        <f>G31*H30</f>
        <v>2717</v>
      </c>
      <c r="I31" s="542"/>
    </row>
    <row r="32" spans="1:9" s="33" customFormat="1" ht="20.100000000000001" customHeight="1" x14ac:dyDescent="0.2">
      <c r="A32" s="546"/>
      <c r="B32" s="547"/>
      <c r="C32" s="547"/>
      <c r="D32" s="547"/>
      <c r="E32" s="888" t="s">
        <v>64</v>
      </c>
      <c r="F32" s="888"/>
      <c r="G32" s="888"/>
      <c r="H32" s="548">
        <f>H30+H31</f>
        <v>12611.4</v>
      </c>
      <c r="I32" s="542"/>
    </row>
    <row r="33" spans="1:9" x14ac:dyDescent="0.2">
      <c r="A33" s="119"/>
      <c r="B33" s="13"/>
      <c r="C33" s="13"/>
      <c r="D33" s="13"/>
      <c r="E33" s="14"/>
      <c r="F33" s="14"/>
      <c r="G33" s="14"/>
      <c r="H33" s="120"/>
      <c r="I33" s="538"/>
    </row>
    <row r="34" spans="1:9" x14ac:dyDescent="0.2">
      <c r="A34" s="549"/>
      <c r="B34" s="550"/>
      <c r="C34" s="550"/>
      <c r="D34" s="550"/>
      <c r="E34" s="550"/>
      <c r="F34" s="550"/>
      <c r="G34" s="550"/>
      <c r="H34" s="551"/>
      <c r="I34" s="538"/>
    </row>
    <row r="35" spans="1:9" x14ac:dyDescent="0.2">
      <c r="A35" s="872" t="s">
        <v>256</v>
      </c>
      <c r="B35" s="867"/>
      <c r="C35" s="867"/>
      <c r="D35" s="867"/>
      <c r="E35" s="867"/>
      <c r="F35" s="867"/>
      <c r="G35" s="867"/>
      <c r="H35" s="873"/>
      <c r="I35" s="538"/>
    </row>
    <row r="36" spans="1:9" x14ac:dyDescent="0.2">
      <c r="A36" s="874" t="s">
        <v>257</v>
      </c>
      <c r="B36" s="875"/>
      <c r="C36" s="552" t="s">
        <v>258</v>
      </c>
      <c r="D36" s="552" t="s">
        <v>259</v>
      </c>
      <c r="E36" s="553" t="s">
        <v>260</v>
      </c>
      <c r="F36" s="876" t="s">
        <v>261</v>
      </c>
      <c r="G36" s="877"/>
      <c r="H36" s="554"/>
      <c r="I36" s="538"/>
    </row>
    <row r="37" spans="1:9" x14ac:dyDescent="0.2">
      <c r="A37" s="878" t="s">
        <v>262</v>
      </c>
      <c r="B37" s="879"/>
      <c r="C37" s="555">
        <v>1</v>
      </c>
      <c r="D37" s="555">
        <v>4</v>
      </c>
      <c r="E37" s="553">
        <v>20</v>
      </c>
      <c r="F37" s="553">
        <v>4</v>
      </c>
      <c r="G37" s="556" t="s">
        <v>236</v>
      </c>
      <c r="H37" s="557">
        <f>ROUND((C37*D37*E37*F37),2)</f>
        <v>320</v>
      </c>
      <c r="I37" s="538"/>
    </row>
    <row r="38" spans="1:9" ht="27.75" customHeight="1" thickBot="1" x14ac:dyDescent="0.25">
      <c r="A38" s="880" t="s">
        <v>263</v>
      </c>
      <c r="B38" s="881"/>
      <c r="C38" s="558">
        <v>1</v>
      </c>
      <c r="D38" s="558">
        <v>4</v>
      </c>
      <c r="E38" s="559">
        <v>20</v>
      </c>
      <c r="F38" s="559">
        <v>4</v>
      </c>
      <c r="G38" s="560" t="s">
        <v>236</v>
      </c>
      <c r="H38" s="561">
        <f>ROUND((C38*D38*E38*F38),2)</f>
        <v>320</v>
      </c>
      <c r="I38" s="538"/>
    </row>
    <row r="39" spans="1:9" x14ac:dyDescent="0.2">
      <c r="A39" s="538"/>
      <c r="B39" s="538"/>
      <c r="C39" s="538"/>
      <c r="D39" s="538"/>
      <c r="E39" s="538"/>
      <c r="F39" s="538"/>
      <c r="G39" s="538"/>
      <c r="H39" s="538"/>
      <c r="I39" s="538"/>
    </row>
    <row r="40" spans="1:9" x14ac:dyDescent="0.2">
      <c r="A40" s="538"/>
      <c r="B40" s="538"/>
      <c r="C40" s="538"/>
      <c r="D40" s="538"/>
      <c r="E40" s="538"/>
      <c r="F40" s="538"/>
      <c r="G40" s="538"/>
      <c r="H40" s="538"/>
      <c r="I40" s="538"/>
    </row>
    <row r="41" spans="1:9" x14ac:dyDescent="0.2">
      <c r="A41" s="538"/>
      <c r="B41" s="538"/>
      <c r="C41" s="538"/>
      <c r="D41" s="538"/>
      <c r="E41" s="538"/>
      <c r="F41" s="538"/>
      <c r="G41" s="538"/>
      <c r="H41" s="538"/>
      <c r="I41" s="538"/>
    </row>
    <row r="42" spans="1:9" x14ac:dyDescent="0.2">
      <c r="A42" s="538"/>
      <c r="B42" s="538"/>
      <c r="C42" s="538"/>
      <c r="D42" s="538"/>
      <c r="E42" s="538"/>
      <c r="F42" s="538"/>
      <c r="G42" s="538"/>
      <c r="H42" s="538"/>
      <c r="I42" s="538"/>
    </row>
    <row r="43" spans="1:9" x14ac:dyDescent="0.2">
      <c r="A43" s="538"/>
      <c r="B43" s="538"/>
      <c r="C43" s="538"/>
      <c r="D43" s="538"/>
      <c r="E43" s="538"/>
      <c r="F43" s="538"/>
      <c r="G43" s="538"/>
      <c r="H43" s="538"/>
      <c r="I43" s="538"/>
    </row>
    <row r="44" spans="1:9" x14ac:dyDescent="0.2">
      <c r="A44" s="538"/>
      <c r="B44" s="538"/>
      <c r="C44" s="538"/>
      <c r="D44" s="538"/>
      <c r="E44" s="538"/>
      <c r="F44" s="538"/>
      <c r="G44" s="538"/>
      <c r="H44" s="538"/>
      <c r="I44" s="538"/>
    </row>
    <row r="45" spans="1:9" x14ac:dyDescent="0.2">
      <c r="A45" s="538"/>
      <c r="B45" s="538"/>
      <c r="C45" s="538"/>
      <c r="D45" s="538"/>
      <c r="E45" s="538"/>
      <c r="F45" s="538"/>
      <c r="G45" s="538"/>
      <c r="H45" s="538"/>
      <c r="I45" s="538"/>
    </row>
    <row r="46" spans="1:9" x14ac:dyDescent="0.2">
      <c r="A46" s="538"/>
      <c r="B46" s="538"/>
      <c r="C46" s="538"/>
      <c r="D46" s="538"/>
      <c r="E46" s="538"/>
      <c r="F46" s="538"/>
      <c r="G46" s="538"/>
      <c r="H46" s="538"/>
      <c r="I46" s="538"/>
    </row>
  </sheetData>
  <mergeCells count="35">
    <mergeCell ref="A2:H2"/>
    <mergeCell ref="A3:H3"/>
    <mergeCell ref="A4:H4"/>
    <mergeCell ref="A5:H5"/>
    <mergeCell ref="C6:G6"/>
    <mergeCell ref="A7:H7"/>
    <mergeCell ref="A8:H8"/>
    <mergeCell ref="C9:D9"/>
    <mergeCell ref="C10:D10"/>
    <mergeCell ref="C11:D11"/>
    <mergeCell ref="A14:E14"/>
    <mergeCell ref="F14:H14"/>
    <mergeCell ref="A15:H15"/>
    <mergeCell ref="C16:D16"/>
    <mergeCell ref="C17:D17"/>
    <mergeCell ref="C18:D18"/>
    <mergeCell ref="A19:E19"/>
    <mergeCell ref="F19:H19"/>
    <mergeCell ref="E32:G32"/>
    <mergeCell ref="A20:H20"/>
    <mergeCell ref="C21:D21"/>
    <mergeCell ref="C22:D22"/>
    <mergeCell ref="C23:D23"/>
    <mergeCell ref="A24:E24"/>
    <mergeCell ref="F24:H24"/>
    <mergeCell ref="A25:H25"/>
    <mergeCell ref="E27:G27"/>
    <mergeCell ref="E28:G28"/>
    <mergeCell ref="E29:G29"/>
    <mergeCell ref="E30:G30"/>
    <mergeCell ref="A35:H35"/>
    <mergeCell ref="A36:B36"/>
    <mergeCell ref="F36:G36"/>
    <mergeCell ref="A37:B37"/>
    <mergeCell ref="A38:B38"/>
  </mergeCells>
  <printOptions horizontalCentered="1"/>
  <pageMargins left="0.51181102362204722" right="0.51181102362204722" top="0.78740157480314965" bottom="0.78740157480314965" header="0.31496062992125984" footer="0.31496062992125984"/>
  <pageSetup paperSize="9" scale="98" orientation="portrait"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34"/>
  <sheetViews>
    <sheetView view="pageBreakPreview" zoomScale="115" zoomScaleNormal="100" zoomScaleSheetLayoutView="115" workbookViewId="0">
      <selection activeCell="G16" sqref="G16"/>
    </sheetView>
  </sheetViews>
  <sheetFormatPr defaultRowHeight="12.75" x14ac:dyDescent="0.2"/>
  <cols>
    <col min="1" max="1" width="9.28515625" style="2" bestFit="1" customWidth="1"/>
    <col min="2" max="2" width="47.140625" style="2" customWidth="1"/>
    <col min="3" max="3" width="9.140625" style="2"/>
    <col min="4" max="4" width="16.28515625" style="2" customWidth="1"/>
    <col min="5" max="5" width="11.42578125" style="2" bestFit="1" customWidth="1"/>
    <col min="6" max="6" width="9.140625" style="2"/>
    <col min="7" max="7" width="11.5703125" style="2" customWidth="1"/>
    <col min="8" max="16384" width="9.140625" style="2"/>
  </cols>
  <sheetData>
    <row r="1" spans="1:9" s="37" customFormat="1" x14ac:dyDescent="0.2">
      <c r="A1" s="830"/>
      <c r="B1" s="831"/>
      <c r="C1" s="831"/>
      <c r="D1" s="831"/>
      <c r="E1" s="831"/>
      <c r="F1" s="831"/>
      <c r="G1" s="832"/>
      <c r="H1" s="512"/>
      <c r="I1" s="512"/>
    </row>
    <row r="2" spans="1:9" s="37" customFormat="1" ht="20.100000000000001" customHeight="1" x14ac:dyDescent="0.2">
      <c r="A2" s="833" t="s">
        <v>19</v>
      </c>
      <c r="B2" s="834"/>
      <c r="C2" s="834"/>
      <c r="D2" s="834"/>
      <c r="E2" s="834"/>
      <c r="F2" s="834"/>
      <c r="G2" s="835"/>
      <c r="H2" s="512"/>
      <c r="I2" s="512"/>
    </row>
    <row r="3" spans="1:9" s="37" customFormat="1" ht="20.100000000000001" customHeight="1" x14ac:dyDescent="0.2">
      <c r="A3" s="833" t="s">
        <v>193</v>
      </c>
      <c r="B3" s="834"/>
      <c r="C3" s="834"/>
      <c r="D3" s="834"/>
      <c r="E3" s="834"/>
      <c r="F3" s="834"/>
      <c r="G3" s="835"/>
      <c r="H3" s="512"/>
      <c r="I3" s="512"/>
    </row>
    <row r="4" spans="1:9" s="37" customFormat="1" ht="20.100000000000001" customHeight="1" x14ac:dyDescent="0.2">
      <c r="A4" s="833" t="s">
        <v>18</v>
      </c>
      <c r="B4" s="834"/>
      <c r="C4" s="834"/>
      <c r="D4" s="834"/>
      <c r="E4" s="834"/>
      <c r="F4" s="834"/>
      <c r="G4" s="835"/>
      <c r="H4" s="512"/>
      <c r="I4" s="512"/>
    </row>
    <row r="5" spans="1:9" s="37" customFormat="1" ht="13.5" thickBot="1" x14ac:dyDescent="0.25">
      <c r="A5" s="839"/>
      <c r="B5" s="840"/>
      <c r="C5" s="840"/>
      <c r="D5" s="840"/>
      <c r="E5" s="840"/>
      <c r="F5" s="840"/>
      <c r="G5" s="841"/>
      <c r="H5" s="512"/>
      <c r="I5" s="512"/>
    </row>
    <row r="6" spans="1:9" s="38" customFormat="1" ht="24.95" customHeight="1" thickTop="1" thickBot="1" x14ac:dyDescent="0.25">
      <c r="A6" s="513" t="s">
        <v>624</v>
      </c>
      <c r="B6" s="920" t="s">
        <v>636</v>
      </c>
      <c r="C6" s="921"/>
      <c r="D6" s="921"/>
      <c r="E6" s="922"/>
      <c r="F6" s="842" t="s">
        <v>308</v>
      </c>
      <c r="G6" s="843"/>
      <c r="H6" s="518"/>
      <c r="I6" s="518"/>
    </row>
    <row r="7" spans="1:9" s="38" customFormat="1" ht="29.25" customHeight="1" thickTop="1" x14ac:dyDescent="0.2">
      <c r="A7" s="844" t="str">
        <f>'ORÇAMENTO GERAL'!C7</f>
        <v>EXECUÇÃO DOS SERVIÇOS DE DRENAGEM SUPERFICIAL E DRENAGEM PROFUNDA  NA TRAVESSA BEIRA RIO E RUA MOCAJATUBA - NO DISTRITO INDUSTRIAL  NO MUNICÍPIO DE ANANINDEUA (PA).</v>
      </c>
      <c r="B7" s="845"/>
      <c r="C7" s="845"/>
      <c r="D7" s="845"/>
      <c r="E7" s="845"/>
      <c r="F7" s="845"/>
      <c r="G7" s="846"/>
      <c r="H7" s="518"/>
      <c r="I7" s="518"/>
    </row>
    <row r="8" spans="1:9" s="38" customFormat="1" ht="25.5" x14ac:dyDescent="0.2">
      <c r="A8" s="107" t="s">
        <v>510</v>
      </c>
      <c r="B8" s="102" t="s">
        <v>194</v>
      </c>
      <c r="C8" s="39" t="s">
        <v>22</v>
      </c>
      <c r="D8" s="39" t="s">
        <v>195</v>
      </c>
      <c r="E8" s="39" t="s">
        <v>196</v>
      </c>
      <c r="F8" s="40" t="s">
        <v>197</v>
      </c>
      <c r="G8" s="108"/>
      <c r="H8" s="518"/>
      <c r="I8" s="518"/>
    </row>
    <row r="9" spans="1:9" s="504" customFormat="1" ht="24.95" customHeight="1" thickBot="1" x14ac:dyDescent="0.25">
      <c r="A9" s="41">
        <v>88316</v>
      </c>
      <c r="B9" s="464" t="s">
        <v>198</v>
      </c>
      <c r="C9" s="42" t="s">
        <v>248</v>
      </c>
      <c r="D9" s="249" t="s">
        <v>420</v>
      </c>
      <c r="E9" s="505">
        <v>18.16</v>
      </c>
      <c r="F9" s="44"/>
      <c r="G9" s="45">
        <f>ROUND(D9*E9,2)</f>
        <v>2.91</v>
      </c>
      <c r="H9" s="518"/>
      <c r="I9" s="518"/>
    </row>
    <row r="10" spans="1:9" s="38" customFormat="1" ht="20.100000000000001" customHeight="1" thickBot="1" x14ac:dyDescent="0.25">
      <c r="A10" s="46"/>
      <c r="B10" s="44"/>
      <c r="C10" s="47"/>
      <c r="D10" s="519" t="s">
        <v>199</v>
      </c>
      <c r="E10" s="520"/>
      <c r="F10" s="521"/>
      <c r="G10" s="522">
        <f>SUM(G9:G9)</f>
        <v>2.91</v>
      </c>
      <c r="H10" s="518"/>
      <c r="I10" s="518"/>
    </row>
    <row r="11" spans="1:9" s="38" customFormat="1" ht="20.100000000000001" customHeight="1" x14ac:dyDescent="0.2">
      <c r="A11" s="52"/>
      <c r="B11" s="468" t="s">
        <v>200</v>
      </c>
      <c r="C11" s="53" t="s">
        <v>22</v>
      </c>
      <c r="D11" s="54" t="s">
        <v>201</v>
      </c>
      <c r="E11" s="53" t="s">
        <v>202</v>
      </c>
      <c r="F11" s="55" t="s">
        <v>197</v>
      </c>
      <c r="G11" s="56"/>
      <c r="H11" s="518"/>
      <c r="I11" s="518"/>
    </row>
    <row r="12" spans="1:9" s="504" customFormat="1" ht="24.95" customHeight="1" x14ac:dyDescent="0.2">
      <c r="A12" s="653">
        <v>4734</v>
      </c>
      <c r="B12" s="58" t="s">
        <v>249</v>
      </c>
      <c r="C12" s="60" t="s">
        <v>0</v>
      </c>
      <c r="D12" s="250">
        <f>1-D13</f>
        <v>0.31</v>
      </c>
      <c r="E12" s="110">
        <v>515.26</v>
      </c>
      <c r="F12" s="59"/>
      <c r="G12" s="45">
        <f>ROUND(D12*E12,2)</f>
        <v>159.72999999999999</v>
      </c>
      <c r="H12" s="518"/>
      <c r="I12" s="518"/>
    </row>
    <row r="13" spans="1:9" s="504" customFormat="1" ht="24.95" customHeight="1" thickBot="1" x14ac:dyDescent="0.25">
      <c r="A13" s="465" t="s">
        <v>625</v>
      </c>
      <c r="B13" s="394" t="s">
        <v>559</v>
      </c>
      <c r="C13" s="60" t="s">
        <v>0</v>
      </c>
      <c r="D13" s="391">
        <v>0.69</v>
      </c>
      <c r="E13" s="393">
        <v>41</v>
      </c>
      <c r="F13" s="392"/>
      <c r="G13" s="45">
        <f>ROUND(D13*E13,2)</f>
        <v>28.29</v>
      </c>
      <c r="H13" s="518"/>
      <c r="I13" s="518"/>
    </row>
    <row r="14" spans="1:9" s="38" customFormat="1" ht="20.100000000000001" customHeight="1" thickBot="1" x14ac:dyDescent="0.25">
      <c r="A14" s="46" t="s">
        <v>203</v>
      </c>
      <c r="B14" s="44"/>
      <c r="C14" s="47"/>
      <c r="D14" s="519" t="s">
        <v>204</v>
      </c>
      <c r="E14" s="523"/>
      <c r="F14" s="524"/>
      <c r="G14" s="522">
        <f>SUM(G12:G13)</f>
        <v>188.02</v>
      </c>
      <c r="H14" s="518"/>
      <c r="I14" s="518"/>
    </row>
    <row r="15" spans="1:9" s="38" customFormat="1" ht="20.100000000000001" customHeight="1" x14ac:dyDescent="0.2">
      <c r="A15" s="52"/>
      <c r="B15" s="467" t="s">
        <v>205</v>
      </c>
      <c r="C15" s="53" t="s">
        <v>22</v>
      </c>
      <c r="D15" s="54" t="s">
        <v>201</v>
      </c>
      <c r="E15" s="53" t="s">
        <v>202</v>
      </c>
      <c r="F15" s="55" t="s">
        <v>197</v>
      </c>
      <c r="G15" s="56"/>
      <c r="H15" s="518"/>
      <c r="I15" s="518"/>
    </row>
    <row r="16" spans="1:9" s="504" customFormat="1" ht="24.95" customHeight="1" x14ac:dyDescent="0.2">
      <c r="A16" s="57">
        <v>5684</v>
      </c>
      <c r="B16" s="111" t="s">
        <v>250</v>
      </c>
      <c r="C16" s="60" t="s">
        <v>183</v>
      </c>
      <c r="D16" s="250" t="s">
        <v>421</v>
      </c>
      <c r="E16" s="110">
        <v>159.68</v>
      </c>
      <c r="F16" s="59"/>
      <c r="G16" s="45">
        <f t="shared" ref="G16:G27" si="0">ROUND(D16*E16,2)</f>
        <v>1.92</v>
      </c>
      <c r="H16" s="518"/>
      <c r="I16" s="518"/>
    </row>
    <row r="17" spans="1:9" s="504" customFormat="1" ht="24.95" customHeight="1" x14ac:dyDescent="0.2">
      <c r="A17" s="57">
        <v>5685</v>
      </c>
      <c r="B17" s="111" t="s">
        <v>251</v>
      </c>
      <c r="C17" s="60" t="s">
        <v>185</v>
      </c>
      <c r="D17" s="250" t="s">
        <v>311</v>
      </c>
      <c r="E17" s="110">
        <v>55.82</v>
      </c>
      <c r="F17" s="59"/>
      <c r="G17" s="45">
        <f t="shared" si="0"/>
        <v>1.56</v>
      </c>
      <c r="H17" s="518"/>
      <c r="I17" s="518"/>
    </row>
    <row r="18" spans="1:9" s="504" customFormat="1" ht="24.95" customHeight="1" x14ac:dyDescent="0.2">
      <c r="A18" s="57">
        <v>5901</v>
      </c>
      <c r="B18" s="111" t="s">
        <v>309</v>
      </c>
      <c r="C18" s="60" t="s">
        <v>183</v>
      </c>
      <c r="D18" s="250" t="s">
        <v>252</v>
      </c>
      <c r="E18" s="110">
        <v>318.87</v>
      </c>
      <c r="F18" s="59"/>
      <c r="G18" s="45">
        <f t="shared" si="0"/>
        <v>1.28</v>
      </c>
      <c r="H18" s="518"/>
      <c r="I18" s="518"/>
    </row>
    <row r="19" spans="1:9" s="504" customFormat="1" ht="24.95" customHeight="1" x14ac:dyDescent="0.2">
      <c r="A19" s="57">
        <v>5903</v>
      </c>
      <c r="B19" s="111" t="s">
        <v>310</v>
      </c>
      <c r="C19" s="60" t="s">
        <v>185</v>
      </c>
      <c r="D19" s="250" t="s">
        <v>422</v>
      </c>
      <c r="E19" s="110">
        <v>54.81</v>
      </c>
      <c r="F19" s="59"/>
      <c r="G19" s="45">
        <f t="shared" si="0"/>
        <v>1.97</v>
      </c>
      <c r="H19" s="518"/>
      <c r="I19" s="518"/>
    </row>
    <row r="20" spans="1:9" s="504" customFormat="1" ht="24.95" customHeight="1" x14ac:dyDescent="0.2">
      <c r="A20" s="57">
        <v>5921</v>
      </c>
      <c r="B20" s="111" t="s">
        <v>426</v>
      </c>
      <c r="C20" s="60" t="s">
        <v>183</v>
      </c>
      <c r="D20" s="250" t="s">
        <v>313</v>
      </c>
      <c r="E20" s="110">
        <v>5.75</v>
      </c>
      <c r="F20" s="59"/>
      <c r="G20" s="45">
        <f>ROUND(D20*E20,2)</f>
        <v>0.05</v>
      </c>
      <c r="H20" s="518"/>
      <c r="I20" s="518"/>
    </row>
    <row r="21" spans="1:9" s="504" customFormat="1" ht="24.95" customHeight="1" x14ac:dyDescent="0.2">
      <c r="A21" s="57">
        <v>5923</v>
      </c>
      <c r="B21" s="111" t="s">
        <v>427</v>
      </c>
      <c r="C21" s="60" t="s">
        <v>185</v>
      </c>
      <c r="D21" s="250" t="s">
        <v>423</v>
      </c>
      <c r="E21" s="110">
        <v>3.57</v>
      </c>
      <c r="F21" s="59"/>
      <c r="G21" s="45">
        <f>ROUND(D21*E21,2)</f>
        <v>0.11</v>
      </c>
      <c r="H21" s="518"/>
      <c r="I21" s="518"/>
    </row>
    <row r="22" spans="1:9" s="504" customFormat="1" ht="24.95" customHeight="1" x14ac:dyDescent="0.2">
      <c r="A22" s="57">
        <v>5932</v>
      </c>
      <c r="B22" s="111" t="s">
        <v>312</v>
      </c>
      <c r="C22" s="60" t="s">
        <v>183</v>
      </c>
      <c r="D22" s="250" t="s">
        <v>313</v>
      </c>
      <c r="E22" s="110">
        <v>247.65</v>
      </c>
      <c r="F22" s="59"/>
      <c r="G22" s="45">
        <f t="shared" si="0"/>
        <v>1.98</v>
      </c>
      <c r="H22" s="518"/>
      <c r="I22" s="518"/>
    </row>
    <row r="23" spans="1:9" s="504" customFormat="1" ht="41.25" customHeight="1" x14ac:dyDescent="0.2">
      <c r="A23" s="57">
        <v>5934</v>
      </c>
      <c r="B23" s="111" t="s">
        <v>314</v>
      </c>
      <c r="C23" s="60" t="s">
        <v>185</v>
      </c>
      <c r="D23" s="250" t="s">
        <v>423</v>
      </c>
      <c r="E23" s="110">
        <v>79.400000000000006</v>
      </c>
      <c r="F23" s="59"/>
      <c r="G23" s="45">
        <f t="shared" si="0"/>
        <v>2.54</v>
      </c>
      <c r="H23" s="518"/>
      <c r="I23" s="518"/>
    </row>
    <row r="24" spans="1:9" s="504" customFormat="1" ht="24.95" customHeight="1" x14ac:dyDescent="0.2">
      <c r="A24" s="57">
        <v>89035</v>
      </c>
      <c r="B24" s="111" t="s">
        <v>296</v>
      </c>
      <c r="C24" s="60" t="s">
        <v>183</v>
      </c>
      <c r="D24" s="250" t="s">
        <v>313</v>
      </c>
      <c r="E24" s="110">
        <v>128.13</v>
      </c>
      <c r="F24" s="59"/>
      <c r="G24" s="45">
        <f>ROUND(D24*E24,2)</f>
        <v>1.03</v>
      </c>
      <c r="H24" s="518"/>
      <c r="I24" s="518"/>
    </row>
    <row r="25" spans="1:9" s="504" customFormat="1" ht="24.95" customHeight="1" x14ac:dyDescent="0.2">
      <c r="A25" s="57">
        <v>89036</v>
      </c>
      <c r="B25" s="111" t="s">
        <v>297</v>
      </c>
      <c r="C25" s="60" t="s">
        <v>185</v>
      </c>
      <c r="D25" s="250" t="s">
        <v>423</v>
      </c>
      <c r="E25" s="110">
        <v>36.299999999999997</v>
      </c>
      <c r="F25" s="59"/>
      <c r="G25" s="45">
        <f>ROUND(D25*E25,2)</f>
        <v>1.1599999999999999</v>
      </c>
      <c r="H25" s="518"/>
      <c r="I25" s="518"/>
    </row>
    <row r="26" spans="1:9" s="504" customFormat="1" ht="24.95" customHeight="1" x14ac:dyDescent="0.2">
      <c r="A26" s="57">
        <v>96463</v>
      </c>
      <c r="B26" s="111" t="s">
        <v>315</v>
      </c>
      <c r="C26" s="60" t="s">
        <v>183</v>
      </c>
      <c r="D26" s="250" t="s">
        <v>424</v>
      </c>
      <c r="E26" s="110">
        <v>216.2</v>
      </c>
      <c r="F26" s="59"/>
      <c r="G26" s="45">
        <f t="shared" si="0"/>
        <v>1.08</v>
      </c>
      <c r="H26" s="518"/>
      <c r="I26" s="518"/>
    </row>
    <row r="27" spans="1:9" s="504" customFormat="1" ht="24.95" customHeight="1" thickBot="1" x14ac:dyDescent="0.25">
      <c r="A27" s="57">
        <v>96464</v>
      </c>
      <c r="B27" s="111" t="s">
        <v>316</v>
      </c>
      <c r="C27" s="60" t="s">
        <v>185</v>
      </c>
      <c r="D27" s="250" t="s">
        <v>425</v>
      </c>
      <c r="E27" s="110">
        <v>79.11</v>
      </c>
      <c r="F27" s="59"/>
      <c r="G27" s="45">
        <f t="shared" si="0"/>
        <v>2.77</v>
      </c>
      <c r="H27" s="518"/>
      <c r="I27" s="518"/>
    </row>
    <row r="28" spans="1:9" s="38" customFormat="1" ht="20.100000000000001" customHeight="1" thickBot="1" x14ac:dyDescent="0.25">
      <c r="A28" s="63" t="s">
        <v>203</v>
      </c>
      <c r="B28" s="44"/>
      <c r="C28" s="47"/>
      <c r="D28" s="519" t="s">
        <v>207</v>
      </c>
      <c r="E28" s="523"/>
      <c r="F28" s="524"/>
      <c r="G28" s="522">
        <f>SUM(G16:G27)</f>
        <v>17.45</v>
      </c>
      <c r="H28" s="518"/>
      <c r="I28" s="518"/>
    </row>
    <row r="29" spans="1:9" s="38" customFormat="1" ht="20.100000000000001" customHeight="1" x14ac:dyDescent="0.2">
      <c r="A29" s="862" t="s">
        <v>208</v>
      </c>
      <c r="B29" s="863"/>
      <c r="C29" s="863"/>
      <c r="D29" s="863"/>
      <c r="E29" s="863"/>
      <c r="F29" s="864"/>
      <c r="G29" s="64">
        <f>SUM(G10+G14+G28)</f>
        <v>208.38</v>
      </c>
      <c r="H29" s="518"/>
      <c r="I29" s="518"/>
    </row>
    <row r="30" spans="1:9" s="38" customFormat="1" ht="20.100000000000001" customHeight="1" thickBot="1" x14ac:dyDescent="0.25">
      <c r="A30" s="65"/>
      <c r="B30" s="66"/>
      <c r="C30" s="47"/>
      <c r="D30" s="67" t="s">
        <v>209</v>
      </c>
      <c r="E30" s="68">
        <v>0.27460000000000001</v>
      </c>
      <c r="F30" s="44"/>
      <c r="G30" s="69">
        <f>E30*G29</f>
        <v>57.22</v>
      </c>
      <c r="H30" s="518"/>
      <c r="I30" s="518"/>
    </row>
    <row r="31" spans="1:9" s="38" customFormat="1" ht="20.100000000000001" customHeight="1" thickBot="1" x14ac:dyDescent="0.25">
      <c r="A31" s="525" t="s">
        <v>210</v>
      </c>
      <c r="B31" s="526"/>
      <c r="C31" s="527"/>
      <c r="D31" s="526"/>
      <c r="E31" s="526"/>
      <c r="F31" s="528"/>
      <c r="G31" s="529">
        <f>SUM(G29:G30)</f>
        <v>265.60000000000002</v>
      </c>
      <c r="H31" s="518"/>
      <c r="I31" s="518"/>
    </row>
    <row r="32" spans="1:9" x14ac:dyDescent="0.2">
      <c r="A32" s="530"/>
      <c r="B32" s="530"/>
      <c r="C32" s="530"/>
      <c r="D32" s="530"/>
      <c r="E32" s="530"/>
      <c r="F32" s="530"/>
      <c r="G32" s="530"/>
      <c r="H32" s="530"/>
      <c r="I32" s="530"/>
    </row>
    <row r="33" spans="1:9" x14ac:dyDescent="0.2">
      <c r="A33" s="530"/>
      <c r="B33" s="530"/>
      <c r="C33" s="530"/>
      <c r="D33" s="530"/>
      <c r="E33" s="530"/>
      <c r="F33" s="530"/>
      <c r="G33" s="530"/>
      <c r="H33" s="530"/>
      <c r="I33" s="530"/>
    </row>
    <row r="34" spans="1:9" x14ac:dyDescent="0.2">
      <c r="A34" s="530"/>
      <c r="B34" s="530"/>
      <c r="C34" s="530"/>
      <c r="D34" s="530"/>
      <c r="E34" s="530"/>
      <c r="F34" s="530"/>
      <c r="G34" s="530"/>
      <c r="H34" s="530"/>
      <c r="I34" s="530"/>
    </row>
  </sheetData>
  <mergeCells count="9">
    <mergeCell ref="A29:F29"/>
    <mergeCell ref="A1:G1"/>
    <mergeCell ref="A2:G2"/>
    <mergeCell ref="A3:G3"/>
    <mergeCell ref="A4:G4"/>
    <mergeCell ref="A5:G5"/>
    <mergeCell ref="B6:E6"/>
    <mergeCell ref="F6:G6"/>
    <mergeCell ref="A7:G7"/>
  </mergeCells>
  <printOptions horizontalCentered="1"/>
  <pageMargins left="0.51181102362204722" right="0.51181102362204722" top="0.78740157480314965" bottom="0.78740157480314965" header="0.31496062992125984" footer="0.31496062992125984"/>
  <pageSetup paperSize="9" scale="8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12</vt:i4>
      </vt:variant>
    </vt:vector>
  </HeadingPairs>
  <TitlesOfParts>
    <vt:vector size="28" baseType="lpstr">
      <vt:lpstr>DADOS</vt:lpstr>
      <vt:lpstr>ORÇAMENTO GERAL</vt:lpstr>
      <vt:lpstr>MC-DRE</vt:lpstr>
      <vt:lpstr>MC-TER</vt:lpstr>
      <vt:lpstr>MC-PAV</vt:lpstr>
      <vt:lpstr>CRONOGRAMA</vt:lpstr>
      <vt:lpstr>CPU-I</vt:lpstr>
      <vt:lpstr>CPU-II</vt:lpstr>
      <vt:lpstr>CPU-III</vt:lpstr>
      <vt:lpstr>CPU-IV</vt:lpstr>
      <vt:lpstr>CPU-V</vt:lpstr>
      <vt:lpstr>CPU-VI</vt:lpstr>
      <vt:lpstr>CPU-VII</vt:lpstr>
      <vt:lpstr>ENCARGOS</vt:lpstr>
      <vt:lpstr>BDI</vt:lpstr>
      <vt:lpstr>PV PARA REDE 600</vt:lpstr>
      <vt:lpstr>'CPU-V'!Area_de_impressao</vt:lpstr>
      <vt:lpstr>'CPU-VI'!Area_de_impressao</vt:lpstr>
      <vt:lpstr>'CPU-VII'!Area_de_impressao</vt:lpstr>
      <vt:lpstr>CRONOGRAMA!Area_de_impressao</vt:lpstr>
      <vt:lpstr>DADOS!Area_de_impressao</vt:lpstr>
      <vt:lpstr>ENCARGOS!Area_de_impressao</vt:lpstr>
      <vt:lpstr>'MC-DRE'!Area_de_impressao</vt:lpstr>
      <vt:lpstr>'MC-PAV'!Area_de_impressao</vt:lpstr>
      <vt:lpstr>'MC-TER'!Area_de_impressao</vt:lpstr>
      <vt:lpstr>'ORÇAMENTO GERAL'!Area_de_impressao</vt:lpstr>
      <vt:lpstr>'MC-DRE'!Titulos_de_impressao</vt:lpstr>
      <vt:lpstr>'ORÇAMENTO GERAL'!Titulos_de_impressao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Mira Mileo Yamada</cp:lastModifiedBy>
  <cp:lastPrinted>2023-01-09T13:09:58Z</cp:lastPrinted>
  <dcterms:created xsi:type="dcterms:W3CDTF">2005-01-22T11:41:57Z</dcterms:created>
  <dcterms:modified xsi:type="dcterms:W3CDTF">2023-01-09T13:10:04Z</dcterms:modified>
</cp:coreProperties>
</file>