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corrência Nova Lei de Licitação (Construção do Capsi)\"/>
    </mc:Choice>
  </mc:AlternateContent>
  <xr:revisionPtr revIDLastSave="0" documentId="8_{B96B0076-8C1B-4FA5-A4AC-E7A70290E0DF}" xr6:coauthVersionLast="45" xr6:coauthVersionMax="45" xr10:uidLastSave="{00000000-0000-0000-0000-000000000000}"/>
  <bookViews>
    <workbookView xWindow="-120" yWindow="-120" windowWidth="21840" windowHeight="13140" tabRatio="500" xr2:uid="{00000000-000D-0000-FFFF-FFFF00000000}"/>
  </bookViews>
  <sheets>
    <sheet name="BDI equipamento" sheetId="1" r:id="rId1"/>
    <sheet name="BDI obra 26" sheetId="2" r:id="rId2"/>
    <sheet name="ENCARGOS" sheetId="3" r:id="rId3"/>
    <sheet name="CRONOGRAMA" sheetId="4" state="hidden" r:id="rId4"/>
    <sheet name="Sinalização " sheetId="5" state="hidden" r:id="rId5"/>
    <sheet name="Composição de Preços Unitários" sheetId="6" state="hidden" r:id="rId6"/>
    <sheet name="Folha Rosto Comp. P. Unit. " sheetId="7" state="hidden" r:id="rId7"/>
  </sheets>
  <externalReferences>
    <externalReference r:id="rId8"/>
    <externalReference r:id="rId9"/>
  </externalReferences>
  <definedNames>
    <definedName name="_xlnm.Print_Area" localSheetId="0">'BDI equipamento'!$A$1:$C$36</definedName>
    <definedName name="_xlnm.Print_Area" localSheetId="1">'BDI obra 26'!$A$1:$C$36</definedName>
    <definedName name="_xlnm.Print_Area" localSheetId="5">'Composição de Preços Unitários'!$B$1:$K$743</definedName>
    <definedName name="_xlnm.Print_Area" localSheetId="3">CRONOGRAMA!$B$2:$H$81</definedName>
    <definedName name="_xlnm.Print_Area" localSheetId="2">ENCARGOS!$A$1:$D$39</definedName>
    <definedName name="_xlnm.Print_Area" localSheetId="4">'Sinalização '!$A$1:$G$49</definedName>
    <definedName name="_xlnm.Database" localSheetId="0">#REF!</definedName>
    <definedName name="_xlnm.Database" localSheetId="1">#REF!</definedName>
    <definedName name="_xlnm.Database" localSheetId="2">#REF!</definedName>
    <definedName name="_xlnm.Database">#REF!</definedName>
    <definedName name="OBRA" localSheetId="0">#REF!</definedName>
    <definedName name="OBRA" localSheetId="1">#REF!</definedName>
    <definedName name="OBRA" localSheetId="2">#REF!</definedName>
    <definedName name="OBRA">#REF!</definedName>
    <definedName name="_xlnm.Print_Titles" localSheetId="0">'BDI equipamento'!$2:$2</definedName>
    <definedName name="_xlnm.Print_Titles" localSheetId="1">'BDI obra 26'!$2:$2</definedName>
    <definedName name="_xlnm.Print_Titles" localSheetId="5">'Composição de Preços Unitários'!$1:$6</definedName>
    <definedName name="_xlnm.Print_Titles" localSheetId="2">ENCARGOS!$1:$1</definedName>
    <definedName name="_xlnm.Print_Titles" localSheetId="4">'Sinalização '!$1:$7</definedName>
  </definedNames>
  <calcPr calcId="19102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739" i="6" l="1"/>
  <c r="K738" i="6"/>
  <c r="K737" i="6"/>
  <c r="K736" i="6"/>
  <c r="K740" i="6" s="1"/>
  <c r="H731" i="6"/>
  <c r="K731" i="6" s="1"/>
  <c r="K730" i="6"/>
  <c r="H730" i="6"/>
  <c r="D725" i="6"/>
  <c r="K722" i="6"/>
  <c r="K721" i="6"/>
  <c r="K720" i="6"/>
  <c r="K719" i="6"/>
  <c r="H714" i="6"/>
  <c r="K714" i="6" s="1"/>
  <c r="K713" i="6"/>
  <c r="K715" i="6" s="1"/>
  <c r="H713" i="6"/>
  <c r="D708" i="6"/>
  <c r="K706" i="6"/>
  <c r="K702" i="6"/>
  <c r="G702" i="6"/>
  <c r="H700" i="6"/>
  <c r="K700" i="6" s="1"/>
  <c r="K701" i="6" s="1"/>
  <c r="D695" i="6"/>
  <c r="K692" i="6"/>
  <c r="K691" i="6"/>
  <c r="K693" i="6" s="1"/>
  <c r="G688" i="6"/>
  <c r="K686" i="6"/>
  <c r="H686" i="6"/>
  <c r="H685" i="6"/>
  <c r="K685" i="6" s="1"/>
  <c r="K687" i="6" s="1"/>
  <c r="K688" i="6" s="1"/>
  <c r="D680" i="6"/>
  <c r="K678" i="6"/>
  <c r="K677" i="6"/>
  <c r="K676" i="6"/>
  <c r="G673" i="6"/>
  <c r="H671" i="6"/>
  <c r="K671" i="6" s="1"/>
  <c r="H670" i="6"/>
  <c r="K670" i="6" s="1"/>
  <c r="K672" i="6" s="1"/>
  <c r="D665" i="6"/>
  <c r="K662" i="6"/>
  <c r="K663" i="6" s="1"/>
  <c r="G659" i="6"/>
  <c r="H657" i="6"/>
  <c r="K657" i="6" s="1"/>
  <c r="K658" i="6" s="1"/>
  <c r="K649" i="6"/>
  <c r="K648" i="6"/>
  <c r="K647" i="6"/>
  <c r="K646" i="6"/>
  <c r="K645" i="6"/>
  <c r="K650" i="6" s="1"/>
  <c r="G642" i="6"/>
  <c r="D634" i="6"/>
  <c r="D652" i="6" s="1"/>
  <c r="K631" i="6"/>
  <c r="K630" i="6"/>
  <c r="K629" i="6"/>
  <c r="K632" i="6" s="1"/>
  <c r="G626" i="6"/>
  <c r="H624" i="6"/>
  <c r="K624" i="6" s="1"/>
  <c r="H623" i="6"/>
  <c r="D618" i="6"/>
  <c r="K615" i="6"/>
  <c r="K614" i="6"/>
  <c r="K613" i="6"/>
  <c r="K616" i="6" s="1"/>
  <c r="G610" i="6"/>
  <c r="H608" i="6"/>
  <c r="K608" i="6" s="1"/>
  <c r="K609" i="6" s="1"/>
  <c r="H607" i="6"/>
  <c r="K607" i="6" s="1"/>
  <c r="D602" i="6"/>
  <c r="K599" i="6"/>
  <c r="K598" i="6"/>
  <c r="K597" i="6"/>
  <c r="K600" i="6" s="1"/>
  <c r="G594" i="6"/>
  <c r="K593" i="6"/>
  <c r="H592" i="6"/>
  <c r="K592" i="6" s="1"/>
  <c r="H591" i="6"/>
  <c r="K591" i="6" s="1"/>
  <c r="D586" i="6"/>
  <c r="K583" i="6"/>
  <c r="K582" i="6"/>
  <c r="K581" i="6"/>
  <c r="K580" i="6"/>
  <c r="K579" i="6"/>
  <c r="K578" i="6"/>
  <c r="K584" i="6" s="1"/>
  <c r="G575" i="6"/>
  <c r="K573" i="6"/>
  <c r="H572" i="6"/>
  <c r="K572" i="6" s="1"/>
  <c r="K574" i="6" s="1"/>
  <c r="K575" i="6" s="1"/>
  <c r="D567" i="6"/>
  <c r="K564" i="6"/>
  <c r="K565" i="6" s="1"/>
  <c r="G564" i="6"/>
  <c r="G561" i="6"/>
  <c r="K559" i="6"/>
  <c r="K560" i="6" s="1"/>
  <c r="H559" i="6"/>
  <c r="D554" i="6"/>
  <c r="K551" i="6"/>
  <c r="G550" i="6"/>
  <c r="G549" i="6"/>
  <c r="K549" i="6" s="1"/>
  <c r="G548" i="6"/>
  <c r="G545" i="6"/>
  <c r="K543" i="6"/>
  <c r="H543" i="6"/>
  <c r="K542" i="6"/>
  <c r="K544" i="6" s="1"/>
  <c r="H542" i="6"/>
  <c r="D537" i="6"/>
  <c r="G533" i="6"/>
  <c r="H532" i="6"/>
  <c r="K532" i="6" s="1"/>
  <c r="G531" i="6"/>
  <c r="G528" i="6"/>
  <c r="K526" i="6"/>
  <c r="H526" i="6"/>
  <c r="K525" i="6"/>
  <c r="K527" i="6" s="1"/>
  <c r="H525" i="6"/>
  <c r="D520" i="6"/>
  <c r="K517" i="6"/>
  <c r="G516" i="6"/>
  <c r="G513" i="6"/>
  <c r="H511" i="6"/>
  <c r="K511" i="6" s="1"/>
  <c r="H510" i="6"/>
  <c r="K510" i="6" s="1"/>
  <c r="D505" i="6"/>
  <c r="G501" i="6"/>
  <c r="G498" i="6"/>
  <c r="H496" i="6"/>
  <c r="K496" i="6" s="1"/>
  <c r="H495" i="6"/>
  <c r="K495" i="6" s="1"/>
  <c r="D490" i="6"/>
  <c r="G487" i="6"/>
  <c r="K485" i="6"/>
  <c r="H485" i="6"/>
  <c r="G482" i="6"/>
  <c r="K480" i="6"/>
  <c r="H480" i="6"/>
  <c r="K479" i="6"/>
  <c r="K481" i="6" s="1"/>
  <c r="H479" i="6"/>
  <c r="D474" i="6"/>
  <c r="K472" i="6"/>
  <c r="K471" i="6"/>
  <c r="G468" i="6"/>
  <c r="K466" i="6"/>
  <c r="H466" i="6"/>
  <c r="K465" i="6"/>
  <c r="H465" i="6"/>
  <c r="D460" i="6"/>
  <c r="K457" i="6"/>
  <c r="G453" i="6"/>
  <c r="K451" i="6"/>
  <c r="H451" i="6"/>
  <c r="K450" i="6"/>
  <c r="K452" i="6" s="1"/>
  <c r="K453" i="6" s="1"/>
  <c r="H450" i="6"/>
  <c r="D445" i="6"/>
  <c r="G442" i="6"/>
  <c r="K440" i="6"/>
  <c r="G437" i="6"/>
  <c r="H435" i="6"/>
  <c r="K435" i="6" s="1"/>
  <c r="G435" i="6"/>
  <c r="H434" i="6"/>
  <c r="G434" i="6"/>
  <c r="K434" i="6" s="1"/>
  <c r="K436" i="6" s="1"/>
  <c r="D429" i="6"/>
  <c r="K424" i="6"/>
  <c r="G423" i="6"/>
  <c r="K423" i="6" s="1"/>
  <c r="K427" i="6" s="1"/>
  <c r="G420" i="6"/>
  <c r="K419" i="6"/>
  <c r="H418" i="6"/>
  <c r="K418" i="6" s="1"/>
  <c r="H417" i="6"/>
  <c r="K417" i="6" s="1"/>
  <c r="D412" i="6"/>
  <c r="G408" i="6"/>
  <c r="G405" i="6"/>
  <c r="H403" i="6"/>
  <c r="K403" i="6" s="1"/>
  <c r="H402" i="6"/>
  <c r="K402" i="6" s="1"/>
  <c r="K404" i="6" s="1"/>
  <c r="K405" i="6" s="1"/>
  <c r="D397" i="6"/>
  <c r="G393" i="6"/>
  <c r="G390" i="6"/>
  <c r="K389" i="6"/>
  <c r="H388" i="6"/>
  <c r="K388" i="6" s="1"/>
  <c r="H387" i="6"/>
  <c r="K387" i="6" s="1"/>
  <c r="D382" i="6"/>
  <c r="G378" i="6"/>
  <c r="I376" i="6"/>
  <c r="G375" i="6"/>
  <c r="K373" i="6"/>
  <c r="H373" i="6"/>
  <c r="K372" i="6"/>
  <c r="H372" i="6"/>
  <c r="D367" i="6"/>
  <c r="F364" i="6"/>
  <c r="K364" i="6" s="1"/>
  <c r="K365" i="6" s="1"/>
  <c r="K362" i="6"/>
  <c r="G354" i="6"/>
  <c r="K352" i="6"/>
  <c r="H352" i="6"/>
  <c r="G352" i="6"/>
  <c r="K351" i="6"/>
  <c r="D346" i="6"/>
  <c r="K344" i="6"/>
  <c r="K341" i="6"/>
  <c r="K342" i="6" s="1"/>
  <c r="K343" i="6" s="1"/>
  <c r="K339" i="6"/>
  <c r="G338" i="6"/>
  <c r="K336" i="6"/>
  <c r="K337" i="6" s="1"/>
  <c r="K338" i="6" s="1"/>
  <c r="H336" i="6"/>
  <c r="K333" i="6"/>
  <c r="F333" i="6"/>
  <c r="K332" i="6"/>
  <c r="F332" i="6"/>
  <c r="K331" i="6"/>
  <c r="K334" i="6" s="1"/>
  <c r="K345" i="6" s="1"/>
  <c r="K346" i="6" s="1"/>
  <c r="D325" i="6"/>
  <c r="K323" i="6"/>
  <c r="K322" i="6"/>
  <c r="K321" i="6"/>
  <c r="K320" i="6"/>
  <c r="G317" i="6"/>
  <c r="K315" i="6"/>
  <c r="H315" i="6"/>
  <c r="H314" i="6"/>
  <c r="K314" i="6" s="1"/>
  <c r="K316" i="6" s="1"/>
  <c r="D309" i="6"/>
  <c r="K307" i="6"/>
  <c r="K306" i="6"/>
  <c r="K305" i="6"/>
  <c r="K304" i="6"/>
  <c r="G301" i="6"/>
  <c r="K299" i="6"/>
  <c r="H299" i="6"/>
  <c r="H298" i="6"/>
  <c r="K298" i="6" s="1"/>
  <c r="K300" i="6" s="1"/>
  <c r="K301" i="6" s="1"/>
  <c r="D293" i="6"/>
  <c r="K290" i="6"/>
  <c r="K289" i="6"/>
  <c r="F289" i="6"/>
  <c r="K288" i="6"/>
  <c r="F288" i="6"/>
  <c r="K287" i="6"/>
  <c r="K291" i="6" s="1"/>
  <c r="F287" i="6"/>
  <c r="I284" i="6"/>
  <c r="H284" i="6"/>
  <c r="K284" i="6" s="1"/>
  <c r="K283" i="6"/>
  <c r="I283" i="6"/>
  <c r="H283" i="6"/>
  <c r="K282" i="6"/>
  <c r="I282" i="6"/>
  <c r="H282" i="6"/>
  <c r="I281" i="6"/>
  <c r="H281" i="6"/>
  <c r="K281" i="6" s="1"/>
  <c r="K285" i="6" s="1"/>
  <c r="G277" i="6"/>
  <c r="K276" i="6"/>
  <c r="H275" i="6"/>
  <c r="K275" i="6" s="1"/>
  <c r="K274" i="6"/>
  <c r="D269" i="6"/>
  <c r="K266" i="6"/>
  <c r="K267" i="6" s="1"/>
  <c r="K263" i="6"/>
  <c r="K262" i="6"/>
  <c r="K261" i="6"/>
  <c r="K260" i="6"/>
  <c r="K264" i="6" s="1"/>
  <c r="G256" i="6"/>
  <c r="K254" i="6"/>
  <c r="H254" i="6"/>
  <c r="K253" i="6"/>
  <c r="K255" i="6" s="1"/>
  <c r="D248" i="6"/>
  <c r="K247" i="6"/>
  <c r="K246" i="6"/>
  <c r="K243" i="6"/>
  <c r="K242" i="6"/>
  <c r="D236" i="6"/>
  <c r="K234" i="6"/>
  <c r="K229" i="6"/>
  <c r="K231" i="6" s="1"/>
  <c r="D223" i="6"/>
  <c r="K218" i="6"/>
  <c r="K219" i="6" s="1"/>
  <c r="K217" i="6"/>
  <c r="K214" i="6"/>
  <c r="G211" i="6"/>
  <c r="K210" i="6"/>
  <c r="K209" i="6"/>
  <c r="K208" i="6"/>
  <c r="H208" i="6"/>
  <c r="D203" i="6"/>
  <c r="K198" i="6"/>
  <c r="K197" i="6"/>
  <c r="K199" i="6" s="1"/>
  <c r="K194" i="6"/>
  <c r="G191" i="6"/>
  <c r="K189" i="6"/>
  <c r="H189" i="6"/>
  <c r="K188" i="6"/>
  <c r="K190" i="6" s="1"/>
  <c r="H188" i="6"/>
  <c r="D183" i="6"/>
  <c r="K181" i="6"/>
  <c r="K177" i="6"/>
  <c r="K176" i="6"/>
  <c r="K178" i="6" s="1"/>
  <c r="K182" i="6" s="1"/>
  <c r="D169" i="6"/>
  <c r="K164" i="6"/>
  <c r="K165" i="6" s="1"/>
  <c r="K163" i="6"/>
  <c r="K160" i="6"/>
  <c r="G157" i="6"/>
  <c r="K156" i="6"/>
  <c r="K155" i="6"/>
  <c r="K154" i="6"/>
  <c r="H154" i="6"/>
  <c r="D148" i="6"/>
  <c r="K145" i="6"/>
  <c r="K146" i="6" s="1"/>
  <c r="K144" i="6"/>
  <c r="K141" i="6"/>
  <c r="K140" i="6"/>
  <c r="K139" i="6"/>
  <c r="K138" i="6"/>
  <c r="K142" i="6" s="1"/>
  <c r="G135" i="6"/>
  <c r="H133" i="6"/>
  <c r="K133" i="6" s="1"/>
  <c r="H132" i="6"/>
  <c r="K132" i="6" s="1"/>
  <c r="H131" i="6"/>
  <c r="K131" i="6" s="1"/>
  <c r="H130" i="6"/>
  <c r="K130" i="6" s="1"/>
  <c r="K134" i="6" s="1"/>
  <c r="D124" i="6"/>
  <c r="K123" i="6"/>
  <c r="K121" i="6"/>
  <c r="K122" i="6" s="1"/>
  <c r="K118" i="6"/>
  <c r="K117" i="6"/>
  <c r="K116" i="6"/>
  <c r="K115" i="6"/>
  <c r="K119" i="6" s="1"/>
  <c r="D110" i="6"/>
  <c r="H101" i="6"/>
  <c r="K101" i="6" s="1"/>
  <c r="H100" i="6"/>
  <c r="K100" i="6" s="1"/>
  <c r="H99" i="6"/>
  <c r="K99" i="6" s="1"/>
  <c r="G98" i="6"/>
  <c r="K98" i="6" s="1"/>
  <c r="K102" i="6" s="1"/>
  <c r="K103" i="6" s="1"/>
  <c r="D93" i="6"/>
  <c r="K84" i="6"/>
  <c r="G84" i="6"/>
  <c r="H82" i="6"/>
  <c r="K82" i="6" s="1"/>
  <c r="K83" i="6" s="1"/>
  <c r="D77" i="6"/>
  <c r="K74" i="6"/>
  <c r="K73" i="6"/>
  <c r="K72" i="6"/>
  <c r="K71" i="6"/>
  <c r="K70" i="6"/>
  <c r="K75" i="6" s="1"/>
  <c r="G67" i="6"/>
  <c r="H65" i="6"/>
  <c r="K65" i="6" s="1"/>
  <c r="H64" i="6"/>
  <c r="K64" i="6" s="1"/>
  <c r="H63" i="6"/>
  <c r="K63" i="6" s="1"/>
  <c r="D58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56" i="6" s="1"/>
  <c r="G38" i="6"/>
  <c r="K37" i="6"/>
  <c r="H36" i="6"/>
  <c r="K36" i="6" s="1"/>
  <c r="H35" i="6"/>
  <c r="K35" i="6" s="1"/>
  <c r="D30" i="6"/>
  <c r="K29" i="6"/>
  <c r="K27" i="6"/>
  <c r="H26" i="6"/>
  <c r="K26" i="6" s="1"/>
  <c r="K28" i="6" s="1"/>
  <c r="K23" i="6"/>
  <c r="K24" i="6" s="1"/>
  <c r="G23" i="6"/>
  <c r="D17" i="6"/>
  <c r="K15" i="6"/>
  <c r="K14" i="6"/>
  <c r="K13" i="6"/>
  <c r="H13" i="6"/>
  <c r="K11" i="6"/>
  <c r="K16" i="6" s="1"/>
  <c r="K17" i="6" s="1"/>
  <c r="K10" i="6"/>
  <c r="G10" i="6"/>
  <c r="F46" i="5"/>
  <c r="G46" i="5" s="1"/>
  <c r="F45" i="5"/>
  <c r="G45" i="5" s="1"/>
  <c r="F47" i="5" s="1"/>
  <c r="G44" i="5"/>
  <c r="F40" i="5"/>
  <c r="G40" i="5" s="1"/>
  <c r="F39" i="5"/>
  <c r="G39" i="5" s="1"/>
  <c r="F38" i="5"/>
  <c r="G38" i="5" s="1"/>
  <c r="F37" i="5"/>
  <c r="G37" i="5" s="1"/>
  <c r="F36" i="5"/>
  <c r="G36" i="5" s="1"/>
  <c r="F35" i="5"/>
  <c r="G35" i="5" s="1"/>
  <c r="F34" i="5"/>
  <c r="G34" i="5" s="1"/>
  <c r="F33" i="5"/>
  <c r="G33" i="5" s="1"/>
  <c r="F32" i="5"/>
  <c r="G32" i="5" s="1"/>
  <c r="F31" i="5"/>
  <c r="G31" i="5" s="1"/>
  <c r="F30" i="5"/>
  <c r="G30" i="5" s="1"/>
  <c r="F29" i="5"/>
  <c r="G29" i="5" s="1"/>
  <c r="F28" i="5"/>
  <c r="G28" i="5" s="1"/>
  <c r="F27" i="5"/>
  <c r="G27" i="5" s="1"/>
  <c r="F26" i="5"/>
  <c r="G26" i="5" s="1"/>
  <c r="F25" i="5"/>
  <c r="G25" i="5" s="1"/>
  <c r="F24" i="5"/>
  <c r="G24" i="5" s="1"/>
  <c r="F23" i="5"/>
  <c r="G23" i="5" s="1"/>
  <c r="G22" i="5"/>
  <c r="F18" i="5"/>
  <c r="G18" i="5" s="1"/>
  <c r="F17" i="5"/>
  <c r="G17" i="5" s="1"/>
  <c r="F16" i="5"/>
  <c r="G16" i="5" s="1"/>
  <c r="F15" i="5"/>
  <c r="G15" i="5" s="1"/>
  <c r="F14" i="5"/>
  <c r="G14" i="5" s="1"/>
  <c r="F13" i="5"/>
  <c r="G13" i="5" s="1"/>
  <c r="F12" i="5"/>
  <c r="G12" i="5" s="1"/>
  <c r="F19" i="5" s="1"/>
  <c r="H76" i="4"/>
  <c r="F76" i="4"/>
  <c r="H74" i="4"/>
  <c r="H73" i="4"/>
  <c r="G73" i="4"/>
  <c r="F73" i="4"/>
  <c r="E73" i="4"/>
  <c r="H71" i="4"/>
  <c r="H70" i="4"/>
  <c r="E70" i="4" s="1"/>
  <c r="F70" i="4"/>
  <c r="H68" i="4"/>
  <c r="H67" i="4"/>
  <c r="G67" i="4"/>
  <c r="F67" i="4"/>
  <c r="E67" i="4"/>
  <c r="H65" i="4"/>
  <c r="H64" i="4"/>
  <c r="F64" i="4"/>
  <c r="H62" i="4"/>
  <c r="H61" i="4"/>
  <c r="G61" i="4"/>
  <c r="F61" i="4"/>
  <c r="E61" i="4"/>
  <c r="H59" i="4"/>
  <c r="H58" i="4"/>
  <c r="E58" i="4" s="1"/>
  <c r="F58" i="4"/>
  <c r="H56" i="4"/>
  <c r="H55" i="4"/>
  <c r="G55" i="4"/>
  <c r="F55" i="4"/>
  <c r="E55" i="4"/>
  <c r="H53" i="4"/>
  <c r="H52" i="4"/>
  <c r="F52" i="4"/>
  <c r="H50" i="4"/>
  <c r="H49" i="4"/>
  <c r="G49" i="4"/>
  <c r="F49" i="4"/>
  <c r="E49" i="4"/>
  <c r="H47" i="4"/>
  <c r="H46" i="4"/>
  <c r="E46" i="4" s="1"/>
  <c r="G46" i="4"/>
  <c r="F46" i="4"/>
  <c r="H44" i="4"/>
  <c r="H43" i="4"/>
  <c r="G43" i="4"/>
  <c r="F43" i="4"/>
  <c r="E43" i="4"/>
  <c r="H41" i="4"/>
  <c r="H40" i="4"/>
  <c r="G40" i="4"/>
  <c r="H38" i="4"/>
  <c r="H37" i="4"/>
  <c r="F37" i="4" s="1"/>
  <c r="G37" i="4"/>
  <c r="E37" i="4"/>
  <c r="H35" i="4"/>
  <c r="H34" i="4"/>
  <c r="F34" i="4" s="1"/>
  <c r="H32" i="4"/>
  <c r="H31" i="4"/>
  <c r="G31" i="4"/>
  <c r="F31" i="4"/>
  <c r="E31" i="4"/>
  <c r="H29" i="4"/>
  <c r="H28" i="4"/>
  <c r="E28" i="4" s="1"/>
  <c r="G28" i="4"/>
  <c r="F28" i="4"/>
  <c r="H26" i="4"/>
  <c r="H25" i="4"/>
  <c r="F25" i="4" s="1"/>
  <c r="G25" i="4"/>
  <c r="E25" i="4"/>
  <c r="H23" i="4"/>
  <c r="H22" i="4"/>
  <c r="E22" i="4" s="1"/>
  <c r="G22" i="4"/>
  <c r="F22" i="4"/>
  <c r="H20" i="4"/>
  <c r="H19" i="4"/>
  <c r="G19" i="4"/>
  <c r="F19" i="4"/>
  <c r="E19" i="4"/>
  <c r="H17" i="4"/>
  <c r="H16" i="4"/>
  <c r="E16" i="4" s="1"/>
  <c r="G16" i="4"/>
  <c r="F16" i="4"/>
  <c r="F79" i="4" s="1"/>
  <c r="H14" i="4"/>
  <c r="H13" i="4"/>
  <c r="H80" i="4" s="1"/>
  <c r="G13" i="4"/>
  <c r="G79" i="4" s="1"/>
  <c r="F13" i="4"/>
  <c r="E13" i="4"/>
  <c r="E79" i="4" s="1"/>
  <c r="H11" i="4"/>
  <c r="D36" i="3"/>
  <c r="C36" i="3"/>
  <c r="D32" i="3"/>
  <c r="C32" i="3"/>
  <c r="D25" i="3"/>
  <c r="D37" i="3" s="1"/>
  <c r="C25" i="3"/>
  <c r="D13" i="3"/>
  <c r="C13" i="3"/>
  <c r="C37" i="3" s="1"/>
  <c r="C20" i="2"/>
  <c r="C15" i="2"/>
  <c r="C9" i="2"/>
  <c r="C15" i="1"/>
  <c r="C9" i="1"/>
  <c r="C20" i="1" s="1"/>
  <c r="F80" i="4" l="1"/>
  <c r="F81" i="4" s="1"/>
  <c r="K135" i="6"/>
  <c r="K136" i="6" s="1"/>
  <c r="K147" i="6" s="1"/>
  <c r="K30" i="6"/>
  <c r="K31" i="6" s="1"/>
  <c r="K38" i="6"/>
  <c r="K39" i="6" s="1"/>
  <c r="K57" i="6" s="1"/>
  <c r="K256" i="6"/>
  <c r="K257" i="6" s="1"/>
  <c r="K268" i="6" s="1"/>
  <c r="K420" i="6"/>
  <c r="K421" i="6" s="1"/>
  <c r="K428" i="6" s="1"/>
  <c r="K528" i="6"/>
  <c r="K529" i="6"/>
  <c r="K594" i="6"/>
  <c r="K595" i="6" s="1"/>
  <c r="K601" i="6" s="1"/>
  <c r="F41" i="5"/>
  <c r="F49" i="5" s="1"/>
  <c r="K157" i="6"/>
  <c r="K158" i="6" s="1"/>
  <c r="K166" i="6" s="1"/>
  <c r="K184" i="6"/>
  <c r="K183" i="6"/>
  <c r="K277" i="6"/>
  <c r="K278" i="6" s="1"/>
  <c r="K292" i="6" s="1"/>
  <c r="K302" i="6"/>
  <c r="K308" i="6" s="1"/>
  <c r="K623" i="6"/>
  <c r="K625" i="6" s="1"/>
  <c r="H639" i="6"/>
  <c r="K639" i="6" s="1"/>
  <c r="K104" i="6"/>
  <c r="K109" i="6" s="1"/>
  <c r="K125" i="6"/>
  <c r="K124" i="6"/>
  <c r="K347" i="6"/>
  <c r="K390" i="6"/>
  <c r="K391" i="6" s="1"/>
  <c r="G486" i="6"/>
  <c r="G77" i="4"/>
  <c r="G78" i="4" s="1"/>
  <c r="G80" i="4"/>
  <c r="G81" i="4" s="1"/>
  <c r="F40" i="4"/>
  <c r="E40" i="4"/>
  <c r="K191" i="6"/>
  <c r="K192" i="6" s="1"/>
  <c r="K200" i="6" s="1"/>
  <c r="K248" i="6"/>
  <c r="K249" i="6" s="1"/>
  <c r="K497" i="6"/>
  <c r="K561" i="6"/>
  <c r="K562" i="6" s="1"/>
  <c r="K566" i="6" s="1"/>
  <c r="K659" i="6"/>
  <c r="K660" i="6" s="1"/>
  <c r="K664" i="6" s="1"/>
  <c r="E80" i="4"/>
  <c r="E81" i="4" s="1"/>
  <c r="H79" i="4"/>
  <c r="F77" i="4" s="1"/>
  <c r="F78" i="4" s="1"/>
  <c r="E77" i="4"/>
  <c r="E78" i="4" s="1"/>
  <c r="E34" i="4"/>
  <c r="G34" i="4"/>
  <c r="G52" i="4"/>
  <c r="E52" i="4"/>
  <c r="G64" i="4"/>
  <c r="E64" i="4"/>
  <c r="G76" i="4"/>
  <c r="E76" i="4"/>
  <c r="K18" i="6"/>
  <c r="K66" i="6"/>
  <c r="K85" i="6"/>
  <c r="K92" i="6" s="1"/>
  <c r="K211" i="6"/>
  <c r="K212" i="6" s="1"/>
  <c r="K220" i="6" s="1"/>
  <c r="K235" i="6"/>
  <c r="K317" i="6"/>
  <c r="K318" i="6"/>
  <c r="K324" i="6" s="1"/>
  <c r="K610" i="6"/>
  <c r="K611" i="6" s="1"/>
  <c r="K617" i="6" s="1"/>
  <c r="G58" i="4"/>
  <c r="G70" i="4"/>
  <c r="K353" i="6"/>
  <c r="K374" i="6"/>
  <c r="K467" i="6"/>
  <c r="K576" i="6"/>
  <c r="K585" i="6" s="1"/>
  <c r="K689" i="6"/>
  <c r="K694" i="6" s="1"/>
  <c r="K732" i="6"/>
  <c r="K406" i="6"/>
  <c r="K482" i="6"/>
  <c r="K483" i="6"/>
  <c r="K703" i="6"/>
  <c r="K707" i="6" s="1"/>
  <c r="K716" i="6"/>
  <c r="K717" i="6" s="1"/>
  <c r="K724" i="6" s="1"/>
  <c r="K437" i="6"/>
  <c r="K438" i="6" s="1"/>
  <c r="K454" i="6"/>
  <c r="K512" i="6"/>
  <c r="G534" i="6"/>
  <c r="K545" i="6"/>
  <c r="K546" i="6"/>
  <c r="K673" i="6"/>
  <c r="K674" i="6" s="1"/>
  <c r="K679" i="6" s="1"/>
  <c r="K723" i="6"/>
  <c r="H640" i="6"/>
  <c r="K640" i="6" s="1"/>
  <c r="K665" i="6" l="1"/>
  <c r="K666" i="6" s="1"/>
  <c r="K680" i="6"/>
  <c r="K681" i="6"/>
  <c r="K567" i="6"/>
  <c r="K568" i="6" s="1"/>
  <c r="K168" i="6"/>
  <c r="K169" i="6" s="1"/>
  <c r="K170" i="6"/>
  <c r="K171" i="6" s="1"/>
  <c r="K167" i="6"/>
  <c r="K58" i="6"/>
  <c r="K59" i="6" s="1"/>
  <c r="K222" i="6"/>
  <c r="K223" i="6" s="1"/>
  <c r="K221" i="6"/>
  <c r="K224" i="6" s="1"/>
  <c r="K293" i="6"/>
  <c r="K294" i="6"/>
  <c r="K429" i="6"/>
  <c r="K430" i="6" s="1"/>
  <c r="K148" i="6"/>
  <c r="K149" i="6" s="1"/>
  <c r="K150" i="6" s="1"/>
  <c r="K725" i="6"/>
  <c r="K726" i="6"/>
  <c r="H533" i="6" s="1"/>
  <c r="K533" i="6" s="1"/>
  <c r="K202" i="6"/>
  <c r="K203" i="6" s="1"/>
  <c r="K204" i="6"/>
  <c r="K201" i="6"/>
  <c r="K618" i="6"/>
  <c r="K619" i="6" s="1"/>
  <c r="K602" i="6"/>
  <c r="K603" i="6" s="1"/>
  <c r="K270" i="6"/>
  <c r="H486" i="6" s="1"/>
  <c r="K486" i="6" s="1"/>
  <c r="K269" i="6"/>
  <c r="K513" i="6"/>
  <c r="K514" i="6" s="1"/>
  <c r="K67" i="6"/>
  <c r="K68" i="6" s="1"/>
  <c r="K76" i="6" s="1"/>
  <c r="K468" i="6"/>
  <c r="K469" i="6"/>
  <c r="K473" i="6" s="1"/>
  <c r="K498" i="6"/>
  <c r="K499" i="6" s="1"/>
  <c r="K110" i="6"/>
  <c r="K111" i="6"/>
  <c r="K586" i="6"/>
  <c r="K587" i="6" s="1"/>
  <c r="K236" i="6"/>
  <c r="K237" i="6" s="1"/>
  <c r="K309" i="6"/>
  <c r="K310" i="6"/>
  <c r="K708" i="6"/>
  <c r="K709" i="6" s="1"/>
  <c r="H441" i="6" s="1"/>
  <c r="K441" i="6" s="1"/>
  <c r="K733" i="6"/>
  <c r="K734" i="6" s="1"/>
  <c r="K741" i="6" s="1"/>
  <c r="K376" i="6"/>
  <c r="K375" i="6"/>
  <c r="K325" i="6"/>
  <c r="K326" i="6"/>
  <c r="K641" i="6"/>
  <c r="K695" i="6"/>
  <c r="K696" i="6" s="1"/>
  <c r="H550" i="6" s="1"/>
  <c r="K550" i="6" s="1"/>
  <c r="K354" i="6"/>
  <c r="K355" i="6"/>
  <c r="K366" i="6" s="1"/>
  <c r="K93" i="6"/>
  <c r="K94" i="6" s="1"/>
  <c r="K627" i="6"/>
  <c r="K633" i="6" s="1"/>
  <c r="K626" i="6"/>
  <c r="K488" i="6" l="1"/>
  <c r="K489" i="6" s="1"/>
  <c r="K743" i="6"/>
  <c r="H534" i="6" s="1"/>
  <c r="K534" i="6" s="1"/>
  <c r="K742" i="6"/>
  <c r="H456" i="6"/>
  <c r="K456" i="6" s="1"/>
  <c r="K458" i="6" s="1"/>
  <c r="K459" i="6" s="1"/>
  <c r="H442" i="6"/>
  <c r="K442" i="6" s="1"/>
  <c r="K443" i="6" s="1"/>
  <c r="K444" i="6" s="1"/>
  <c r="H548" i="6"/>
  <c r="K548" i="6" s="1"/>
  <c r="K552" i="6" s="1"/>
  <c r="K553" i="6" s="1"/>
  <c r="K77" i="6"/>
  <c r="K78" i="6" s="1"/>
  <c r="H501" i="6"/>
  <c r="K501" i="6" s="1"/>
  <c r="H487" i="6"/>
  <c r="K487" i="6" s="1"/>
  <c r="H393" i="6"/>
  <c r="K393" i="6" s="1"/>
  <c r="H516" i="6"/>
  <c r="K516" i="6" s="1"/>
  <c r="K518" i="6" s="1"/>
  <c r="K519" i="6" s="1"/>
  <c r="H408" i="6"/>
  <c r="K408" i="6" s="1"/>
  <c r="H378" i="6"/>
  <c r="K378" i="6" s="1"/>
  <c r="H531" i="6"/>
  <c r="K531" i="6" s="1"/>
  <c r="K634" i="6"/>
  <c r="K635" i="6" s="1"/>
  <c r="K642" i="6"/>
  <c r="K643" i="6" s="1"/>
  <c r="K651" i="6" s="1"/>
  <c r="K367" i="6"/>
  <c r="K368" i="6"/>
  <c r="K474" i="6"/>
  <c r="K475" i="6"/>
  <c r="H409" i="6" l="1"/>
  <c r="K409" i="6" s="1"/>
  <c r="H379" i="6"/>
  <c r="K379" i="6" s="1"/>
  <c r="H502" i="6"/>
  <c r="K502" i="6" s="1"/>
  <c r="H394" i="6"/>
  <c r="K394" i="6" s="1"/>
  <c r="K395" i="6" s="1"/>
  <c r="K396" i="6" s="1"/>
  <c r="K652" i="6"/>
  <c r="K653" i="6" s="1"/>
  <c r="K520" i="6"/>
  <c r="K521" i="6"/>
  <c r="K445" i="6"/>
  <c r="K446" i="6"/>
  <c r="K490" i="6"/>
  <c r="K491" i="6" s="1"/>
  <c r="K410" i="6"/>
  <c r="K411" i="6" s="1"/>
  <c r="K535" i="6"/>
  <c r="K536" i="6" s="1"/>
  <c r="K503" i="6"/>
  <c r="K504" i="6" s="1"/>
  <c r="K460" i="6"/>
  <c r="K461" i="6"/>
  <c r="K380" i="6"/>
  <c r="K381" i="6" s="1"/>
  <c r="K554" i="6"/>
  <c r="K555" i="6" s="1"/>
  <c r="K397" i="6" l="1"/>
  <c r="K398" i="6" s="1"/>
  <c r="K382" i="6"/>
  <c r="K383" i="6" s="1"/>
  <c r="K537" i="6"/>
  <c r="K538" i="6"/>
  <c r="K505" i="6"/>
  <c r="K506" i="6" s="1"/>
  <c r="K412" i="6"/>
  <c r="K413" i="6" s="1"/>
</calcChain>
</file>

<file path=xl/sharedStrings.xml><?xml version="1.0" encoding="utf-8"?>
<sst xmlns="http://schemas.openxmlformats.org/spreadsheetml/2006/main" count="1743" uniqueCount="470">
  <si>
    <t>COMPOSIÇÃO ANALÍTICA DE BDI_EQUIPAMENTO (SEM DESONERAÇÃO)</t>
  </si>
  <si>
    <t>ITEM</t>
  </si>
  <si>
    <t>DESCRIÇÃO</t>
  </si>
  <si>
    <t>%</t>
  </si>
  <si>
    <t>DESPESAS FINANCEIRAS</t>
  </si>
  <si>
    <t>ADMINISTRAÇÃO CENTRAL</t>
  </si>
  <si>
    <t>LUCRO</t>
  </si>
  <si>
    <t>IMPOSTOS</t>
  </si>
  <si>
    <t>4.1</t>
  </si>
  <si>
    <t>PIS</t>
  </si>
  <si>
    <t>4.2</t>
  </si>
  <si>
    <t>ISS</t>
  </si>
  <si>
    <t>4.3</t>
  </si>
  <si>
    <t>COFINS</t>
  </si>
  <si>
    <t>4.4</t>
  </si>
  <si>
    <t>INSS - LEI 12.844/13</t>
  </si>
  <si>
    <t>OUTRAS DESPESAS</t>
  </si>
  <si>
    <t>5.1</t>
  </si>
  <si>
    <t>RISCO</t>
  </si>
  <si>
    <t>5.2</t>
  </si>
  <si>
    <t>GARANTIA</t>
  </si>
  <si>
    <t>5.3</t>
  </si>
  <si>
    <t>SEGUROS</t>
  </si>
  <si>
    <t>BDI TOTAL</t>
  </si>
  <si>
    <t>Fórmula:</t>
  </si>
  <si>
    <t>OBS: ISS para fornecimento de materiais e equipamentos é igual a 0,00%</t>
  </si>
  <si>
    <t>FONTE UTILIZADA: TCU - Acordão 2.622/2013</t>
  </si>
  <si>
    <t>COMPOSIÇÃO ANALÍTICA DE BDI (SEM DESONERAÇÃO)</t>
  </si>
  <si>
    <t xml:space="preserve">          </t>
  </si>
  <si>
    <t>Obs: (*) % de ISS considerando 2%, 3,5% e 5% sobre 50% do Preço de Venda - Observar a legislação do Município.</t>
  </si>
  <si>
    <t xml:space="preserve">XSC DCV 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</si>
  <si>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</si>
  <si>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</si>
  <si>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</si>
  <si>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</si>
  <si>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</si>
  <si>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</si>
  <si>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</si>
  <si>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</si>
  <si>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</si>
  <si>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</si>
  <si>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</si>
  <si>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</si>
  <si>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</si>
  <si>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</si>
  <si>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</si>
  <si>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</si>
  <si>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</si>
  <si>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</si>
  <si>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</si>
  <si>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</si>
  <si>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</si>
  <si>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</si>
  <si>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</si>
  <si>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</si>
  <si>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</si>
  <si>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</si>
  <si>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</si>
  <si>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</si>
  <si>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</si>
  <si>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</si>
  <si>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</si>
  <si>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</si>
  <si>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</si>
  <si>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</si>
  <si>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</si>
  <si>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</si>
  <si>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</si>
  <si>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</si>
  <si>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</si>
  <si>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</si>
  <si>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</si>
  <si>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</si>
  <si>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</si>
  <si>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</si>
  <si>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</si>
  <si>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</si>
  <si>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</si>
  <si>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</si>
  <si>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</si>
  <si>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</si>
  <si>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</si>
  <si>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</si>
  <si>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</si>
  <si>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</si>
  <si>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</si>
  <si>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</si>
  <si>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</si>
  <si>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</si>
  <si>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</si>
  <si>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</si>
  <si>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</si>
  <si>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</si>
  <si>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</si>
  <si>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</si>
  <si>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</si>
  <si>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</si>
  <si>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</si>
  <si>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</si>
  <si>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</si>
  <si>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</si>
  <si>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PREFEITURA MUNICIPAL DE ANANINDEUA</t>
  </si>
  <si>
    <t>SECRETARIA MUNICIPAL SAUDE - SESAU</t>
  </si>
  <si>
    <t>OBRA: CONSTRUÇÃO UBS JARDIM AMAZÔNIA</t>
  </si>
  <si>
    <t xml:space="preserve">LOCAL: </t>
  </si>
  <si>
    <t>DATA BASE: ABRIL 2013</t>
  </si>
  <si>
    <t>CRONOGRAMA FÍSICO - FINANCEIRO</t>
  </si>
  <si>
    <t>DISCRIMINAÇÃO</t>
  </si>
  <si>
    <t>MESES DE SERVIÇOS</t>
  </si>
  <si>
    <t>TOTAL</t>
  </si>
  <si>
    <t>SERVIÇOS PRELIMINARES</t>
  </si>
  <si>
    <t>Percentual(%)</t>
  </si>
  <si>
    <t>Valor (R$)</t>
  </si>
  <si>
    <t>DEMOLIÇÕES E RETIRADAS</t>
  </si>
  <si>
    <t>MOVIMENTO DE TERRA</t>
  </si>
  <si>
    <t>FUNDAÇÕES</t>
  </si>
  <si>
    <t>ESTRUTURA</t>
  </si>
  <si>
    <t>PAREDES E PAÍNEIS</t>
  </si>
  <si>
    <t>PISOS</t>
  </si>
  <si>
    <t>REVESTIMENTO</t>
  </si>
  <si>
    <t>FORRO</t>
  </si>
  <si>
    <t>COBERTURA</t>
  </si>
  <si>
    <t>TELHAMENTO</t>
  </si>
  <si>
    <t>IMPERMEABILIZAÇÃO E TRATAMENTO</t>
  </si>
  <si>
    <t>ESQUADRIAS</t>
  </si>
  <si>
    <t>FERRAGENS</t>
  </si>
  <si>
    <t>RODAPES, SOLEIRAS E PEITORIS</t>
  </si>
  <si>
    <t>PINTURAS</t>
  </si>
  <si>
    <t>INSTALAÇÕES ELETRICAS</t>
  </si>
  <si>
    <t>INSTALAÇÕES HIDROSANITARIAS</t>
  </si>
  <si>
    <t>APARELHOAS, LOUÇAS E METAIS</t>
  </si>
  <si>
    <t>INSTALAÇÃO DE AR CONDICIONADO</t>
  </si>
  <si>
    <t>DIVERSOS</t>
  </si>
  <si>
    <t>LIMPEZA FINAL</t>
  </si>
  <si>
    <t>PERCENTUAL SIMPLES</t>
  </si>
  <si>
    <t>PERCENTUAL ACUMULADO</t>
  </si>
  <si>
    <t>VALOR TOTAL SIMPLES</t>
  </si>
  <si>
    <t xml:space="preserve">VALOR TOTAL </t>
  </si>
  <si>
    <t>VALOR TOTAL ACUMULADO</t>
  </si>
  <si>
    <t>OBRA: CICLOVIA DO GUAMÁ - BELÉM/PA</t>
  </si>
  <si>
    <r>
      <rPr>
        <b/>
        <sz val="8"/>
        <rFont val="Arial"/>
        <family val="2"/>
        <charset val="1"/>
      </rPr>
      <t xml:space="preserve">DATA BASE: </t>
    </r>
    <r>
      <rPr>
        <b/>
        <sz val="14"/>
        <rFont val="Arial"/>
        <family val="2"/>
        <charset val="1"/>
      </rPr>
      <t>SETEMBRO / 2006</t>
    </r>
  </si>
  <si>
    <t>ORÇAMENTO EXECUTIVO</t>
  </si>
  <si>
    <t>CODIGO DA COMP. PREÇOS</t>
  </si>
  <si>
    <t>DESCRIÇÃO DOS SERVIÇOS</t>
  </si>
  <si>
    <t>UNID.</t>
  </si>
  <si>
    <t>QUANT.</t>
  </si>
  <si>
    <t>UNITÁRIO</t>
  </si>
  <si>
    <t>4</t>
  </si>
  <si>
    <t>SINALIZACAO HORIZONTAL, VERTICAL E SEMAFORICA</t>
  </si>
  <si>
    <t xml:space="preserve"> SINALIZAÇÃO VERTICAL</t>
  </si>
  <si>
    <t>4.1.1</t>
  </si>
  <si>
    <t>PLACAS DE REGULAMENTAÇÃO</t>
  </si>
  <si>
    <t>4.1.1.1</t>
  </si>
  <si>
    <t>Placa de Sinalização de Regulamentação octogonal</t>
  </si>
  <si>
    <t>unid.</t>
  </si>
  <si>
    <t>4.1.1.2</t>
  </si>
  <si>
    <t>Placa de Sinalização de Regulamentação circular</t>
  </si>
  <si>
    <t>4.1.1.3</t>
  </si>
  <si>
    <t>Placa de Sinalização de Advertência</t>
  </si>
  <si>
    <t>4.1.1.4</t>
  </si>
  <si>
    <t>Placa de Indicação de Serviços Auxiliares</t>
  </si>
  <si>
    <t>4.1.1.5</t>
  </si>
  <si>
    <t>Placa de Sinalização de Indicação</t>
  </si>
  <si>
    <t>4.1.1.6</t>
  </si>
  <si>
    <t>Placa de Sin. de Regulamentação Especial - PRE</t>
  </si>
  <si>
    <r>
      <rPr>
        <sz val="8"/>
        <rFont val="Arial"/>
        <family val="2"/>
        <charset val="1"/>
      </rPr>
      <t>m</t>
    </r>
    <r>
      <rPr>
        <vertAlign val="superscript"/>
        <sz val="8"/>
        <rFont val="Arial"/>
        <family val="2"/>
        <charset val="1"/>
      </rPr>
      <t>2</t>
    </r>
  </si>
  <si>
    <t>4.1.1.7</t>
  </si>
  <si>
    <t>Placa de Sin. de Advertência Especial - PA</t>
  </si>
  <si>
    <t xml:space="preserve"> Total do Item - 4.1</t>
  </si>
  <si>
    <t xml:space="preserve"> SINALIZAÇÃO HORIZONTAL</t>
  </si>
  <si>
    <t>4.2.1</t>
  </si>
  <si>
    <t xml:space="preserve">Pintura de faixa de pedestres  </t>
  </si>
  <si>
    <t>4.2.2</t>
  </si>
  <si>
    <t>Pintura de faixa divisória de fluxo seccionada (via)</t>
  </si>
  <si>
    <t>4.2.3</t>
  </si>
  <si>
    <t>Pintura de faixa divisória de fluxo seccionada (ciclovia)</t>
  </si>
  <si>
    <t>4.2.4</t>
  </si>
  <si>
    <t>Pintura de faixa de estacionamento seccionada</t>
  </si>
  <si>
    <t>4.2.5</t>
  </si>
  <si>
    <t xml:space="preserve">Pintura de faixa de bordo contínua (via) </t>
  </si>
  <si>
    <t>4.2.6</t>
  </si>
  <si>
    <t>Pintura de faixa de bordo contínua (ciclovia)</t>
  </si>
  <si>
    <t>4.2.7</t>
  </si>
  <si>
    <t xml:space="preserve">Pintura de faixa de retenção branca </t>
  </si>
  <si>
    <t>4.2.8</t>
  </si>
  <si>
    <t xml:space="preserve">Pintura de faixa de aproximação simples branca </t>
  </si>
  <si>
    <t>4.2.9</t>
  </si>
  <si>
    <t>Pintura de faixa de aproximação dupla amarela</t>
  </si>
  <si>
    <t>4.2.10</t>
  </si>
  <si>
    <t>Pintura de cruzamento em ângulo reto (ciclovia)</t>
  </si>
  <si>
    <t>4.2.11</t>
  </si>
  <si>
    <t>Pintura de bicicleta</t>
  </si>
  <si>
    <t>4.2.12</t>
  </si>
  <si>
    <t xml:space="preserve">Pintura de setas </t>
  </si>
  <si>
    <t>4.2.13</t>
  </si>
  <si>
    <t>Pintura de canalização (zebrado)</t>
  </si>
  <si>
    <t>4.2.14</t>
  </si>
  <si>
    <t>Pintura de legenda PARE (via)</t>
  </si>
  <si>
    <t>4.2.15</t>
  </si>
  <si>
    <t>Pintura de legenda PARE (ciclovia)</t>
  </si>
  <si>
    <t>4.2.16</t>
  </si>
  <si>
    <t>Pintura de legenda SINAL (ciclovia)</t>
  </si>
  <si>
    <t>4.2.17</t>
  </si>
  <si>
    <t>Tacha refletiva bidirecional</t>
  </si>
  <si>
    <t>4.2.18</t>
  </si>
  <si>
    <t>Tachão refletivo bidirecional</t>
  </si>
  <si>
    <t xml:space="preserve"> Total do Item - 4.2</t>
  </si>
  <si>
    <t xml:space="preserve"> SINALIZAÇÃO SEMAFÓRICA</t>
  </si>
  <si>
    <t>4.3.1</t>
  </si>
  <si>
    <t xml:space="preserve">Semáforo para pedestre 200x200 </t>
  </si>
  <si>
    <t>4.3.2</t>
  </si>
  <si>
    <t>Coluna simples para semáforo de pedestre</t>
  </si>
  <si>
    <t xml:space="preserve"> Total do Item - 4.3</t>
  </si>
  <si>
    <t>TOTAL GERAL DO ITEM - 4</t>
  </si>
  <si>
    <t>COMPOSIÇÃO DE PREÇOS UNITÁRIOS</t>
  </si>
  <si>
    <t>1</t>
  </si>
  <si>
    <t xml:space="preserve">SERVIÇO:  </t>
  </si>
  <si>
    <t>INSTALAÇÕES PROVISÓRIAS</t>
  </si>
  <si>
    <t>UNIDADE:</t>
  </si>
  <si>
    <t>un</t>
  </si>
  <si>
    <t xml:space="preserve">                    MÃO DE OBRA SUPLEMENTAR</t>
  </si>
  <si>
    <t>UNIDADE</t>
  </si>
  <si>
    <t>COEFIC.</t>
  </si>
  <si>
    <t>CUSTO</t>
  </si>
  <si>
    <t xml:space="preserve">   CUSTO UNITÁRIO</t>
  </si>
  <si>
    <t>LEIS SOCIAIS</t>
  </si>
  <si>
    <t xml:space="preserve">(  A )   T O T A L                                      </t>
  </si>
  <si>
    <t xml:space="preserve">                                M A T E R I A L</t>
  </si>
  <si>
    <t>CUSTO UNITÁRIO</t>
  </si>
  <si>
    <t>LUZ, ÁGUA</t>
  </si>
  <si>
    <t>BANHEIRO  QUÍMICO</t>
  </si>
  <si>
    <t xml:space="preserve">                   </t>
  </si>
  <si>
    <t>(  B  )   T O T A L</t>
  </si>
  <si>
    <t xml:space="preserve">     C U S T O   D I R E T O   T O T A L   ( A )+ ( B )  =                         </t>
  </si>
  <si>
    <t xml:space="preserve">      B O N I F I C A Ç Ã O</t>
  </si>
  <si>
    <t>C U S T O   U N I T Á R I O     T O T A L</t>
  </si>
  <si>
    <t>2</t>
  </si>
  <si>
    <t>MOBILIZAÇÃO E DESMOBILIZAÇÃO</t>
  </si>
  <si>
    <t>TRANSPORTES DE PESSOAL</t>
  </si>
  <si>
    <t>FRETE DE EQUIPAMENTOS</t>
  </si>
  <si>
    <t>CONSTRUÇÃO  DO BARRACÃO DA OBRA</t>
  </si>
  <si>
    <t>m²</t>
  </si>
  <si>
    <t>CUSTO TOTAL</t>
  </si>
  <si>
    <t>CARPINTEIRO</t>
  </si>
  <si>
    <t>h</t>
  </si>
  <si>
    <t>SERVENTE</t>
  </si>
  <si>
    <t>SOMA</t>
  </si>
  <si>
    <t xml:space="preserve">LEIS SOCIAIS   </t>
  </si>
  <si>
    <t xml:space="preserve">(  A  )   T O T A L                                      </t>
  </si>
  <si>
    <t xml:space="preserve"> CONSUMO </t>
  </si>
  <si>
    <t>PERNAMANCA 3"x 2" 20 PALMOS - MADEIRA BRANCA</t>
  </si>
  <si>
    <t>dz</t>
  </si>
  <si>
    <t>CADEADO - Nº: 30</t>
  </si>
  <si>
    <t xml:space="preserve">ARRUELA CONCAVA DE CHUMBO D= 5/16" </t>
  </si>
  <si>
    <t>TELHA FIBROTEX ( 1,22 x 0,55 )m, e=4,00mm</t>
  </si>
  <si>
    <t>RÉGUA 3" x 1"  20 PALMOS APAR.</t>
  </si>
  <si>
    <t>TÁBUA DE MADEIRA BRANCA - 20 PALMOS</t>
  </si>
  <si>
    <t>PARAFUSO FºGº 5/16" C= 110mm</t>
  </si>
  <si>
    <t>FECHADURA DE SOBREPOR COMUM</t>
  </si>
  <si>
    <t>DOBRADIÇA 3"x 3"  COM PARAFUSO</t>
  </si>
  <si>
    <t>PREGO 2 1/2" x 10</t>
  </si>
  <si>
    <t>kg</t>
  </si>
  <si>
    <t>MASSA DE VEDAÇÃO</t>
  </si>
  <si>
    <t>TÁBUA DE MADEIRA FORTE DE 20 PALMOS</t>
  </si>
  <si>
    <t>ALDRAVA PARA CADEADO ( 4 x 1/2" )</t>
  </si>
  <si>
    <t>INSTALAÇÃO ELÉTRICA</t>
  </si>
  <si>
    <t>INSTALAÇÃO HIDRO SANITÁRIA</t>
  </si>
  <si>
    <t xml:space="preserve">     C U S T O   D I R E T O   T O T A L   ( A )+ ( B )  =                    </t>
  </si>
  <si>
    <t>FORNECIMENTO E COLOCAÇÃO DA PLACA DA OBRA</t>
  </si>
  <si>
    <t>PINTOR</t>
  </si>
  <si>
    <t>MATERIAL</t>
  </si>
  <si>
    <t>FUNDO ANTIÓXIDO CROMATO DE ZINCO</t>
  </si>
  <si>
    <t>gl</t>
  </si>
  <si>
    <t>TINTA A BASE DE ÓLEO</t>
  </si>
  <si>
    <t>PREGO 2" x 11</t>
  </si>
  <si>
    <t>CHAPA DE FERRO GALVANIZADO-26 (1,00 x 2,00)m</t>
  </si>
  <si>
    <t>ch</t>
  </si>
  <si>
    <t>RÉGUA DE 3"x 1 20 PALMOS APAR.</t>
  </si>
  <si>
    <t xml:space="preserve">     C U S T O   D I R E T O   T O T A L   ( A )+ ( B ) =            </t>
  </si>
  <si>
    <t>LIMPEZA PERMANENTE DA OBRA</t>
  </si>
  <si>
    <t xml:space="preserve"> MÊS</t>
  </si>
  <si>
    <t xml:space="preserve">  CUSTO</t>
  </si>
  <si>
    <t>M A T E R I A L</t>
  </si>
  <si>
    <t>( B  )   T O T A L</t>
  </si>
  <si>
    <t>ADMINISTRAÇÃO DA OBRA</t>
  </si>
  <si>
    <t>mês</t>
  </si>
  <si>
    <t>ENGENHEIRO CIVIL</t>
  </si>
  <si>
    <t>MESTRE DE OBRA</t>
  </si>
  <si>
    <t>ALMOXARIFE</t>
  </si>
  <si>
    <t>APONTADOR</t>
  </si>
  <si>
    <t>TAXAS E EMOLUMENTOS</t>
  </si>
  <si>
    <t>CREA - PA</t>
  </si>
  <si>
    <t xml:space="preserve">PREFEITURA MUNICIPAL </t>
  </si>
  <si>
    <t>REDE CELPA</t>
  </si>
  <si>
    <t>TAXAS, CARTÓRIOS, SERVIÇOS, ETC</t>
  </si>
  <si>
    <t xml:space="preserve">       C U S T O   U N I T Á R I O     T O T A L</t>
  </si>
  <si>
    <t>LOCAÇÃO TOPOGRÁFICA DA OBRA</t>
  </si>
  <si>
    <t>Km</t>
  </si>
  <si>
    <t>TOPÓGRAFO</t>
  </si>
  <si>
    <t>AJUDANTE DE TOPÓGRAFO</t>
  </si>
  <si>
    <t>AJUDANTE</t>
  </si>
  <si>
    <t>CONSUMO</t>
  </si>
  <si>
    <t>TÁBUA EM MADEIRA BRANCA</t>
  </si>
  <si>
    <t>CAIBRO ROLIÇO</t>
  </si>
  <si>
    <t>PREGO 2"x 10</t>
  </si>
  <si>
    <t>ARAME RECOZIDO</t>
  </si>
  <si>
    <t xml:space="preserve">(  B  )   T O T A L                                      </t>
  </si>
  <si>
    <t>EQUIPAMENTOS</t>
  </si>
  <si>
    <t>TEODOLITO</t>
  </si>
  <si>
    <t>NÍVEL</t>
  </si>
  <si>
    <t xml:space="preserve">(  C  )   T O T A L                                      </t>
  </si>
  <si>
    <t xml:space="preserve">     C U S T O   D I R E T O   T O T A L   ( A )  =                          </t>
  </si>
  <si>
    <t>C U S T O   U N I T Á R I O     T O T A L (Km)</t>
  </si>
  <si>
    <t>RET. PAVIM. ASFÁLTICA</t>
  </si>
  <si>
    <t>PRODUÇÃO:</t>
  </si>
  <si>
    <t>M³</t>
  </si>
  <si>
    <t>m³</t>
  </si>
  <si>
    <t>ENCARREGADO</t>
  </si>
  <si>
    <t>EQUIPAMENTO</t>
  </si>
  <si>
    <t>CUSTO HORÁRIO</t>
  </si>
  <si>
    <t>PRODUTIVO</t>
  </si>
  <si>
    <t>IMPRODUTIVO</t>
  </si>
  <si>
    <t>PÁ CARREGADEIRA / RETROESCAVADEIRA (57 kw)</t>
  </si>
  <si>
    <t>(  C  )   T O T A L</t>
  </si>
  <si>
    <t xml:space="preserve">     C U S T O   D I R E T O   T O T A L   ( A )+ ( B ) + ( C ) =            </t>
  </si>
  <si>
    <t>ADICIONAL DE FERRAMENTAS (5%)</t>
  </si>
  <si>
    <t>CUSTO DIRETO TOTAL =</t>
  </si>
  <si>
    <t xml:space="preserve">       C U S T O  T O T A L</t>
  </si>
  <si>
    <t xml:space="preserve">       C U S T O  U  N  I  T  Á  R  I  O   T O T A L</t>
  </si>
  <si>
    <t>ESCAVAÇÃO CARGA TRANSPORTE E COMPAC. DE ATERROS (EMPRÉSTIMOS)</t>
  </si>
  <si>
    <t xml:space="preserve"> MODELO</t>
  </si>
  <si>
    <t>QUANTIDADE</t>
  </si>
  <si>
    <t>UTILIZAÇÃO</t>
  </si>
  <si>
    <t xml:space="preserve">  CUSTO OPERACIONAL</t>
  </si>
  <si>
    <t>PROD.</t>
  </si>
  <si>
    <t>IMPROD.</t>
  </si>
  <si>
    <t>PÁ MECÂNICA</t>
  </si>
  <si>
    <t>CAMINHÃO BASCULANTE</t>
  </si>
  <si>
    <t xml:space="preserve">CONSUMO </t>
  </si>
  <si>
    <t>DEMOLIÇÃO DE MEIO-FIO</t>
  </si>
  <si>
    <t>m</t>
  </si>
  <si>
    <t>DEMOLIÇÃO DE CALÇADAS</t>
  </si>
  <si>
    <t>ESCAVAÇÃO MECANIZADA EM MATERIAL DE 1ª CATEGORIA</t>
  </si>
  <si>
    <t>RETROESCAVADEIRA</t>
  </si>
  <si>
    <t xml:space="preserve">SERVIÇO: </t>
  </si>
  <si>
    <t>BOTA-FORA MECANIZADO - DMT=10 Km</t>
  </si>
  <si>
    <t xml:space="preserve">m³ </t>
  </si>
  <si>
    <t xml:space="preserve">  MODELO</t>
  </si>
  <si>
    <t xml:space="preserve"> QUANT: </t>
  </si>
  <si>
    <t>CUSTO  OPERACIONAL</t>
  </si>
  <si>
    <t>(A) TOTAL:</t>
  </si>
  <si>
    <t xml:space="preserve">     C U S T O   D I R E T O   T O T A L   ( A ) =                   </t>
  </si>
  <si>
    <t>IMPRIMAÇÃO ASFÁLTICA COM CM - 30</t>
  </si>
  <si>
    <t xml:space="preserve">ENCARREGADO </t>
  </si>
  <si>
    <t xml:space="preserve">LEIS  SOCIAIS  </t>
  </si>
  <si>
    <t>COEFICIENTE</t>
  </si>
  <si>
    <t xml:space="preserve">   CUSTO OPERACIONAL</t>
  </si>
  <si>
    <t>VASSOURA MECÂNICA REBOCÁVEL</t>
  </si>
  <si>
    <t>TANQUE DE ESTOC. ASFALTO ( 20.000 litros )</t>
  </si>
  <si>
    <t>CAMINHÃO DISTRIBUIDOR DE ASFALTO</t>
  </si>
  <si>
    <t>TRATOR DE PNEUS 80 A 115 HP</t>
  </si>
  <si>
    <t>EMULSÃO ASFÁLTICA RR - 1C ( Frete incluso )</t>
  </si>
  <si>
    <t>ton.</t>
  </si>
  <si>
    <t>REVESTIMENTO EM C.B.U.Q - e= 5,00Cm</t>
  </si>
  <si>
    <t>TON</t>
  </si>
  <si>
    <t>USINA DE ASFALTO A QUENTE 40/60 T/H</t>
  </si>
  <si>
    <t>CARREGADOR FRONTAL DE PNEUS 1,33 m³</t>
  </si>
  <si>
    <t>GRUPO GERADOR 86 KWA</t>
  </si>
  <si>
    <t>CIMENTO ASFALTICO CAP-20</t>
  </si>
  <si>
    <t>FILLER</t>
  </si>
  <si>
    <t>ÓLEO COMBUSTÍVEL</t>
  </si>
  <si>
    <t>AREIA</t>
  </si>
  <si>
    <t>CONCRETO ESTRUTURAL - FCK= 15mpa</t>
  </si>
  <si>
    <t>PEDREIRO</t>
  </si>
  <si>
    <t>CIMENTO</t>
  </si>
  <si>
    <t>sc</t>
  </si>
  <si>
    <t>SEIXO</t>
  </si>
  <si>
    <t xml:space="preserve">     C U S T O   D I R E T O   T O T A L   ( A )+ ( B )  =        </t>
  </si>
  <si>
    <t>PINTURA DE PLATAFORMA E PASSAGEM DE NÍVEL</t>
  </si>
  <si>
    <t>FUNDO ANTIÓXIDO CROMADO DE ZINCO</t>
  </si>
  <si>
    <t>TINTA A BASE DE ÓLEO - COR BRANCA</t>
  </si>
  <si>
    <t>TINTA A BASE DE ÓLEO - COR AMARELA</t>
  </si>
  <si>
    <t>ATERRO  COMPACTADO C/ MATERIAL PROVENIENTE DA JAZIDA</t>
  </si>
  <si>
    <t>CUSTO OPERACIONAL</t>
  </si>
  <si>
    <t>COMPACTADOR DE SOLO</t>
  </si>
  <si>
    <t>PÁ CARREGADEIRA</t>
  </si>
  <si>
    <t>( A )  T O T A L</t>
  </si>
  <si>
    <t xml:space="preserve">MATERIAL </t>
  </si>
  <si>
    <t>ATERRO</t>
  </si>
  <si>
    <t xml:space="preserve">     C U S T O   D I R E T O   T O T A L   ( A )+ ( B )   =                          </t>
  </si>
  <si>
    <t>CAPA SELANTE ASFÁLTICO</t>
  </si>
  <si>
    <t>SELANTE ASFÁLTICO</t>
  </si>
  <si>
    <t>EXECUÇÃO DE SARJETÃO EM CONCRETO</t>
  </si>
  <si>
    <t xml:space="preserve">LEIS SOCIAIS </t>
  </si>
  <si>
    <t xml:space="preserve">   CONSUMO </t>
  </si>
  <si>
    <t>CONCRETO SIMPLES FCK= 9,00mpa</t>
  </si>
  <si>
    <t>FORMA DE MADEIRA PARA ESTRUTURA COMUM</t>
  </si>
  <si>
    <t xml:space="preserve">(  B )   T O T A L                                      </t>
  </si>
  <si>
    <t xml:space="preserve">     C U S T O   D I R E T O   T O T A L   ( A )+ ( B )  =             </t>
  </si>
  <si>
    <t>RECOMPOSIÇÃO DE MEIO-FIO E SARJETA</t>
  </si>
  <si>
    <t>EXECUÇÃO DE MEIO FIO EM CONCRETO, COM LÂMINA D'ÁGUA</t>
  </si>
  <si>
    <t xml:space="preserve">   SERVIÇO:     </t>
  </si>
  <si>
    <t>PINTURA À CAL</t>
  </si>
  <si>
    <t>CAL</t>
  </si>
  <si>
    <t>Kg</t>
  </si>
  <si>
    <t>ADITIVO FIXADOR</t>
  </si>
  <si>
    <t>Pc</t>
  </si>
  <si>
    <t xml:space="preserve">     C U S T O   D I R E T O   T O T A L   ( A )+ ( B )  =                      </t>
  </si>
  <si>
    <t>EXECUÇÃO RECUPERAÇÃO PARCIAL DE BOCA DE LOBO DE BORDA EM CONCRETO ARMADO COM GRADE METÁLICA PARA RETENÇAO DE DETRITOS, MEDIDAS INTERNAS (1,00m x 0,60m x 0,80m).</t>
  </si>
  <si>
    <t>GRADE METÁLICA</t>
  </si>
  <si>
    <t>ESCAVAÇÃO MANUAL</t>
  </si>
  <si>
    <t>CONCRETO ARMADO, FCK= 13,50 mpa</t>
  </si>
  <si>
    <t xml:space="preserve">PISO EM CONCRETO COM SEIXO FINO, FCK= 15 mpa, SECCIONADO COM JUNTAS PLÁSTICAS PRETO DE 1" </t>
  </si>
  <si>
    <t>CONCRETO FCK= 13,5 mpa e= 0,10m</t>
  </si>
  <si>
    <t>FORNECIMENTO DE JUNTA PLÁSTICA PRETO DE 1"</t>
  </si>
  <si>
    <t>PINTURA COM DEMARCADORES</t>
  </si>
  <si>
    <t>TINTA ACRÍLICA PARA PISO</t>
  </si>
  <si>
    <t>galão</t>
  </si>
  <si>
    <t>BLOCOS DE CONCRETO PRÉ-MOLDADO L = 0,80 m</t>
  </si>
  <si>
    <t>BLOCOS DE CONCRETO PRÉ-MOLDADO 0,26 x 0,16 x 0,05 m - L = 0,80 m</t>
  </si>
  <si>
    <t>ESCAVAÇÃO MECÂNICA</t>
  </si>
  <si>
    <t>CONCRETO SIMPLES 9 Mpa</t>
  </si>
  <si>
    <t>EXECUÇÃO DE TENTO EM CONCRETO SIMPLES REBAIXADO PARA ACESSO À GARAGEM</t>
  </si>
  <si>
    <t xml:space="preserve">EXECUÇÃO DE RAMPA EM CONCRETO SIMPLES </t>
  </si>
  <si>
    <t>FORNECIMENTO E INTALAÇÃO DE DEFENSAS METÁLICA</t>
  </si>
  <si>
    <t>DEFENSAS METÁLICAS D = 2" - 2,70 m</t>
  </si>
  <si>
    <t>PINTURA ANTIFERRUGINOSA</t>
  </si>
  <si>
    <t>PINTURA ESMALTE SINTÉTICO</t>
  </si>
  <si>
    <t>MONUMENTO COM PLACA DE INAUGURAÇÃO</t>
  </si>
  <si>
    <t>CONCRETO SIMPLES FCK= 13,5mpa</t>
  </si>
  <si>
    <t>AÇO CA 60</t>
  </si>
  <si>
    <t>PLACA DE INAUGURAÇÃO - 0,45 x 0,65 m EM AÇO ESCOVADO</t>
  </si>
  <si>
    <t>RETIRADA DE  ÁRVORES</t>
  </si>
  <si>
    <t>ESCAVAÇÃO MANUAL EM MAT. 1ª CATEGORIA</t>
  </si>
  <si>
    <t xml:space="preserve">     C U S T O   D I R E T O   T O T A L   ( A ) + ( B ) =                          </t>
  </si>
  <si>
    <t>LIMPEZA GERAL</t>
  </si>
  <si>
    <t>CONCRETO - FCK= 9mpa</t>
  </si>
  <si>
    <t>CONCRETO ESTRUTURAL - FCK= 13,50mpa</t>
  </si>
  <si>
    <t xml:space="preserve">    UNIDADE</t>
  </si>
  <si>
    <t xml:space="preserve">FORMA EM MADEIRA COMUM PARA ESTRUTURA </t>
  </si>
  <si>
    <t xml:space="preserve">( A  )   T O T A L                                      </t>
  </si>
  <si>
    <t>TÁBUA DE MADEIRA BRANCA 20 PLS</t>
  </si>
  <si>
    <t>PERNAMANCA 3" x 2"  20 PLS - MADEIRA BRANCA</t>
  </si>
  <si>
    <t>PREGO  2" x 11</t>
  </si>
  <si>
    <t xml:space="preserve"> </t>
  </si>
  <si>
    <t xml:space="preserve">     C U S T O   D I R E T O   T O T A L   ( A )+ ( B )  =              </t>
  </si>
  <si>
    <t>FORMA EM COMPENSADO PLASTIFICADO PARA CONCRETO APARENTE</t>
  </si>
  <si>
    <t>PREGO  2 1/2" x 12"</t>
  </si>
  <si>
    <t>COMPENSADO PLASTIFICADO</t>
  </si>
  <si>
    <t>RÉGUA 3/8" X 7/8"</t>
  </si>
  <si>
    <t xml:space="preserve">DESFORMA </t>
  </si>
  <si>
    <t>AÇO ( CA - 50 )</t>
  </si>
  <si>
    <t>FERREIRO</t>
  </si>
  <si>
    <t>AÇO CA-50</t>
  </si>
  <si>
    <t xml:space="preserve">   AÇO ( CA - 60 )</t>
  </si>
  <si>
    <t>AÇO CA-60</t>
  </si>
  <si>
    <t>ESCAVAÇÃO MANUAL EM MATERIAL DE 1ª CATEGORIA</t>
  </si>
  <si>
    <t>PINTURA ANTIFERRUGINOSA COM PRIMER PARA GALVANIZADO INTERPLATE</t>
  </si>
  <si>
    <t>PRIMER INTERPLATE INTERNATIONAL</t>
  </si>
  <si>
    <t>SOLVENTE GTA 137 - INTERNATIONAL</t>
  </si>
  <si>
    <t>LIXA PARA FERRO</t>
  </si>
  <si>
    <t>TINTA ESMALTE SINTÉTICO</t>
  </si>
  <si>
    <t>FOLHA DE ROSTO DA COMPOSIÇÃO DE PREÇOS UNITÁRIOS - SETEMBRO/2006</t>
  </si>
  <si>
    <t>LEIS SOCIAIS:</t>
  </si>
  <si>
    <t>BDI:</t>
  </si>
  <si>
    <t>SALÁRIOS</t>
  </si>
  <si>
    <t xml:space="preserve">PEDREIRO / CARPINTEIRO </t>
  </si>
  <si>
    <t>SERV. HABILIT.</t>
  </si>
  <si>
    <t>AJ. TOPÓGRAFO</t>
  </si>
  <si>
    <t>MONTADOR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</si>
</sst>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164" formatCode="#."/>
    <numFmt numFmtId="165" formatCode="_([$€]* #,##0.00_);_([$€]* \(#,##0.00\);_([$€]* \-??_);_(@_)"/>
    <numFmt numFmtId="166" formatCode="_-&quot;R$ &quot;* #,##0.00_-;&quot;-R$ &quot;* #,##0.00_-;_-&quot;R$ &quot;* \-??_-;_-@_-"/>
    <numFmt numFmtId="167" formatCode="_(* #,##0.00_);_(* \(#,##0.00\);_(* \-??_);_(@_)"/>
    <numFmt numFmtId="168" formatCode="#,##0.00_);[Red]\(#,##0.00\)"/>
    <numFmt numFmtId="169" formatCode="0.0%"/>
    <numFmt numFmtId="170" formatCode="0.000%"/>
    <numFmt numFmtId="171" formatCode="#,##0_);[Red]\(#,##0\)"/>
    <numFmt numFmtId="172" formatCode="&quot;R$ &quot;#,##0.00;[Red]&quot;R$ &quot;#,##0.00"/>
    <numFmt numFmtId="173" formatCode="&quot;R$ &quot;#,##0.00"/>
    <numFmt numFmtId="174" formatCode="&quot;R$ &quot;#,##0.00_);[Red]&quot;(R$ &quot;#,##0.00\)"/>
    <numFmt numFmtId="175" formatCode="_(&quot;R$&quot;* #,##0.00_);_(&quot;R$&quot;* \(#,##0.00\);_(&quot;R$&quot;* \-??_);_(@_)"/>
    <numFmt numFmtId="176" formatCode="#,##0.0000_);[Red]\(#,##0.0000\)"/>
    <numFmt numFmtId="177" formatCode="#,##0.000_);[Red]\(#,##0.000\)"/>
    <numFmt numFmtId="178" formatCode="#,##0.00000_);[Red]\(#,##0.00000\)"/>
  </numFmts>
  <fonts count="43">
    <font>
      <sz val="10"/>
      <name val="Arial"/>
      <charset val="1"/>
    </font>
    <font>
      <sz val="1"/>
      <color rgb="FF800000"/>
      <name val="Courier New"/>
      <family val="3"/>
      <charset val="1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"/>
      <color rgb="FF000080"/>
      <name val="Courier New"/>
      <family val="3"/>
      <charset val="1"/>
    </font>
    <font>
      <b/>
      <sz val="1"/>
      <color rgb="FF800000"/>
      <name val="Courier New"/>
      <family val="3"/>
      <charset val="1"/>
    </font>
    <font>
      <sz val="10"/>
      <color rgb="FFFF0000"/>
      <name val="Arial Narrow"/>
      <family val="2"/>
      <charset val="1"/>
    </font>
    <font>
      <sz val="10"/>
      <name val="Arial Narrow"/>
      <family val="2"/>
      <charset val="1"/>
    </font>
    <font>
      <b/>
      <sz val="11"/>
      <color rgb="FF000000"/>
      <name val="Calibri"/>
      <family val="2"/>
      <charset val="1"/>
    </font>
    <font>
      <b/>
      <sz val="12"/>
      <name val="Arial Narrow"/>
      <family val="2"/>
      <charset val="1"/>
    </font>
    <font>
      <b/>
      <sz val="12"/>
      <color rgb="FFFF0000"/>
      <name val="Arial Narrow"/>
      <family val="2"/>
      <charset val="1"/>
    </font>
    <font>
      <sz val="12"/>
      <name val="Arial Narrow"/>
      <family val="2"/>
      <charset val="1"/>
    </font>
    <font>
      <i/>
      <sz val="12"/>
      <name val="Arial Narrow"/>
      <family val="2"/>
      <charset val="1"/>
    </font>
    <font>
      <sz val="12"/>
      <color rgb="FFFF0000"/>
      <name val="Arial Narrow"/>
      <family val="2"/>
      <charset val="1"/>
    </font>
    <font>
      <b/>
      <i/>
      <sz val="12"/>
      <name val="Arial Narrow"/>
      <family val="2"/>
      <charset val="1"/>
    </font>
    <font>
      <b/>
      <i/>
      <sz val="10"/>
      <name val="Arial Narrow"/>
      <family val="2"/>
      <charset val="1"/>
    </font>
    <font>
      <b/>
      <sz val="10"/>
      <name val="Arial Narrow"/>
      <family val="2"/>
      <charset val="1"/>
    </font>
    <font>
      <sz val="8"/>
      <name val="Arial Narrow"/>
      <family val="2"/>
      <charset val="1"/>
    </font>
    <font>
      <b/>
      <sz val="12"/>
      <name val="Swis721 LtEx BT"/>
      <family val="2"/>
      <charset val="1"/>
    </font>
    <font>
      <b/>
      <sz val="10"/>
      <name val="Swis721 LtEx BT"/>
      <family val="2"/>
      <charset val="1"/>
    </font>
    <font>
      <b/>
      <sz val="18"/>
      <name val="Swis721 LtEx BT"/>
      <family val="2"/>
      <charset val="1"/>
    </font>
    <font>
      <b/>
      <sz val="12"/>
      <name val="AvantGarde Bk BT"/>
      <family val="2"/>
      <charset val="1"/>
    </font>
    <font>
      <b/>
      <sz val="8"/>
      <name val="AvantGarde Bk BT"/>
      <family val="2"/>
      <charset val="1"/>
    </font>
    <font>
      <sz val="8"/>
      <name val="AvantGarde Bk BT"/>
      <family val="2"/>
      <charset val="1"/>
    </font>
    <font>
      <b/>
      <sz val="9"/>
      <name val="Arial"/>
      <family val="2"/>
      <charset val="1"/>
    </font>
    <font>
      <b/>
      <u/>
      <sz val="8"/>
      <name val="AvantGarde Bk BT"/>
      <family val="2"/>
      <charset val="1"/>
    </font>
    <font>
      <b/>
      <sz val="9"/>
      <name val="AvantGarde Bk BT"/>
      <family val="2"/>
      <charset val="1"/>
    </font>
    <font>
      <b/>
      <sz val="10"/>
      <name val="AvantGarde Bk BT"/>
      <family val="2"/>
      <charset val="1"/>
    </font>
    <font>
      <sz val="10"/>
      <name val="AvantGarde Bk BT"/>
      <family val="2"/>
      <charset val="1"/>
    </font>
    <font>
      <sz val="9"/>
      <name val="AvantGarde Bk BT"/>
      <family val="2"/>
      <charset val="1"/>
    </font>
    <font>
      <b/>
      <sz val="14"/>
      <name val="Arial"/>
      <family val="2"/>
      <charset val="1"/>
    </font>
    <font>
      <b/>
      <sz val="8"/>
      <name val="Arial"/>
      <family val="2"/>
      <charset val="1"/>
    </font>
    <font>
      <b/>
      <sz val="10"/>
      <name val="Arial"/>
      <family val="2"/>
      <charset val="1"/>
    </font>
    <font>
      <sz val="8"/>
      <name val="Arial"/>
      <family val="2"/>
      <charset val="1"/>
    </font>
    <font>
      <sz val="8"/>
      <color rgb="FFFF0000"/>
      <name val="Arial"/>
      <family val="2"/>
      <charset val="1"/>
    </font>
    <font>
      <vertAlign val="superscript"/>
      <sz val="8"/>
      <name val="Arial"/>
      <family val="2"/>
      <charset val="1"/>
    </font>
    <font>
      <b/>
      <i/>
      <sz val="10"/>
      <name val="Arial"/>
      <family val="2"/>
      <charset val="1"/>
    </font>
    <font>
      <i/>
      <sz val="10"/>
      <name val="Arial"/>
      <family val="2"/>
      <charset val="1"/>
    </font>
    <font>
      <b/>
      <sz val="12"/>
      <name val="Arial"/>
      <family val="2"/>
      <charset val="1"/>
    </font>
    <font>
      <b/>
      <sz val="11"/>
      <name val="Arial"/>
      <family val="2"/>
      <charset val="1"/>
    </font>
    <font>
      <sz val="12"/>
      <name val="Arial"/>
      <family val="2"/>
      <charset val="1"/>
    </font>
    <font>
      <sz val="6"/>
      <name val="Arial"/>
      <family val="2"/>
      <charset val="1"/>
    </font>
    <font>
      <sz val="10"/>
      <name val="Arial"/>
      <charset val="1"/>
    </font>
  </fonts>
  <fills count="9">
    <fill>
      <patternFill patternType="none"/>
    </fill>
    <fill>
      <patternFill patternType="gray125"/>
    </fill>
    <fill>
      <patternFill patternType="solid">
        <fgColor rgb="FFC6D9F1"/>
        <bgColor rgb="FFB9CDE5"/>
      </patternFill>
    </fill>
    <fill>
      <patternFill patternType="solid">
        <fgColor rgb="FF95B3D7"/>
        <bgColor rgb="FFA6A6A6"/>
      </patternFill>
    </fill>
    <fill>
      <patternFill patternType="solid">
        <fgColor rgb="FFFFFFFF"/>
        <bgColor rgb="FFFFFFCC"/>
      </patternFill>
    </fill>
    <fill>
      <patternFill patternType="solid">
        <fgColor rgb="FFA6A6A6"/>
        <bgColor rgb="FF95B3D7"/>
      </patternFill>
    </fill>
    <fill>
      <patternFill patternType="solid">
        <fgColor rgb="FFB9CDE5"/>
        <bgColor rgb="FFC6D9F1"/>
      </patternFill>
    </fill>
    <fill>
      <patternFill patternType="solid">
        <fgColor rgb="FFD9D9D9"/>
        <bgColor rgb="FFC6D9F1"/>
      </patternFill>
    </fill>
    <fill>
      <patternFill patternType="solid">
        <fgColor rgb="FF000000"/>
        <bgColor rgb="FF003300"/>
      </patternFill>
    </fill>
  </fills>
  <borders count="74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rgb="FFFFFFFF"/>
      </top>
      <bottom style="thin">
        <color rgb="FFFFFFF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7">
    <xf numFmtId="0" fontId="0" fillId="0" borderId="0"/>
    <xf numFmtId="167" fontId="42" fillId="0" borderId="0" applyBorder="0" applyProtection="0"/>
    <xf numFmtId="175" fontId="42" fillId="0" borderId="0" applyBorder="0" applyProtection="0"/>
    <xf numFmtId="9" fontId="42" fillId="0" borderId="0" applyBorder="0" applyProtection="0"/>
    <xf numFmtId="164" fontId="1" fillId="0" borderId="0">
      <protection locked="0"/>
    </xf>
    <xf numFmtId="165" fontId="42" fillId="0" borderId="0" applyBorder="0" applyProtection="0"/>
    <xf numFmtId="164" fontId="1" fillId="0" borderId="0">
      <protection locked="0"/>
    </xf>
    <xf numFmtId="166" fontId="2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3" fillId="0" borderId="0"/>
    <xf numFmtId="164" fontId="1" fillId="0" borderId="0">
      <protection locked="0"/>
    </xf>
    <xf numFmtId="164" fontId="1" fillId="0" borderId="0">
      <protection locked="0"/>
    </xf>
    <xf numFmtId="9" fontId="42" fillId="0" borderId="0" applyBorder="0" applyProtection="0"/>
    <xf numFmtId="9" fontId="42" fillId="0" borderId="0" applyBorder="0" applyProtection="0"/>
    <xf numFmtId="164" fontId="4" fillId="0" borderId="0">
      <protection locked="0"/>
    </xf>
    <xf numFmtId="167" fontId="42" fillId="0" borderId="0" applyBorder="0" applyProtection="0"/>
    <xf numFmtId="167" fontId="42" fillId="0" borderId="0" applyBorder="0" applyProtection="0"/>
    <xf numFmtId="167" fontId="42" fillId="0" borderId="0" applyBorder="0" applyProtection="0"/>
    <xf numFmtId="164" fontId="5" fillId="0" borderId="0">
      <protection locked="0"/>
    </xf>
    <xf numFmtId="164" fontId="5" fillId="0" borderId="0">
      <protection locked="0"/>
    </xf>
  </cellStyleXfs>
  <cellXfs count="466">
    <xf numFmtId="0" fontId="0" fillId="0" borderId="0" xfId="0"/>
    <xf numFmtId="0" fontId="22" fillId="0" borderId="9" xfId="10" applyFont="1" applyBorder="1" applyAlignment="1">
      <alignment horizontal="center"/>
    </xf>
    <xf numFmtId="0" fontId="22" fillId="0" borderId="10" xfId="10" applyFont="1" applyBorder="1" applyAlignment="1">
      <alignment horizontal="center"/>
    </xf>
    <xf numFmtId="0" fontId="21" fillId="0" borderId="8" xfId="10" applyFont="1" applyBorder="1" applyAlignment="1">
      <alignment horizontal="center"/>
    </xf>
    <xf numFmtId="0" fontId="19" fillId="0" borderId="7" xfId="8" applyFont="1" applyBorder="1" applyAlignment="1">
      <alignment horizontal="center" vertical="center"/>
    </xf>
    <xf numFmtId="0" fontId="19" fillId="0" borderId="6" xfId="8" applyFont="1" applyBorder="1" applyAlignment="1">
      <alignment horizontal="center" vertical="center" wrapText="1"/>
    </xf>
    <xf numFmtId="0" fontId="20" fillId="0" borderId="6" xfId="8" applyFont="1" applyBorder="1" applyAlignment="1">
      <alignment horizontal="right" vertical="center" wrapText="1"/>
    </xf>
    <xf numFmtId="49" fontId="3" fillId="0" borderId="6" xfId="8" applyNumberFormat="1" applyFont="1" applyBorder="1" applyAlignment="1">
      <alignment horizontal="center" vertical="center"/>
    </xf>
    <xf numFmtId="0" fontId="19" fillId="0" borderId="6" xfId="8" applyFont="1" applyBorder="1" applyAlignment="1">
      <alignment horizontal="center" vertical="center"/>
    </xf>
    <xf numFmtId="0" fontId="18" fillId="0" borderId="5" xfId="8" applyFont="1" applyBorder="1" applyAlignment="1">
      <alignment horizontal="center" vertical="center"/>
    </xf>
    <xf numFmtId="0" fontId="8" fillId="7" borderId="2" xfId="8" applyFont="1" applyFill="1" applyBorder="1" applyAlignment="1">
      <alignment horizontal="center" vertical="center"/>
    </xf>
    <xf numFmtId="0" fontId="8" fillId="0" borderId="2" xfId="8" applyFont="1" applyBorder="1" applyAlignment="1">
      <alignment horizontal="center" vertical="center"/>
    </xf>
    <xf numFmtId="0" fontId="8" fillId="2" borderId="4" xfId="8" applyFont="1" applyFill="1" applyBorder="1" applyAlignment="1">
      <alignment horizontal="center" vertical="center"/>
    </xf>
    <xf numFmtId="1" fontId="9" fillId="6" borderId="2" xfId="8" applyNumberFormat="1" applyFont="1" applyFill="1" applyBorder="1" applyAlignment="1">
      <alignment horizontal="center"/>
    </xf>
    <xf numFmtId="0" fontId="8" fillId="2" borderId="1" xfId="8" applyFont="1" applyFill="1" applyBorder="1" applyAlignment="1">
      <alignment horizontal="center" vertical="center"/>
    </xf>
    <xf numFmtId="49" fontId="6" fillId="0" borderId="0" xfId="8" applyNumberFormat="1" applyFont="1" applyBorder="1" applyAlignment="1">
      <alignment horizontal="center"/>
    </xf>
    <xf numFmtId="49" fontId="6" fillId="0" borderId="0" xfId="8" applyNumberFormat="1" applyFont="1" applyBorder="1" applyAlignment="1">
      <alignment horizontal="left" wrapText="1"/>
    </xf>
    <xf numFmtId="168" fontId="7" fillId="0" borderId="0" xfId="8" applyNumberFormat="1" applyFont="1" applyBorder="1" applyAlignment="1">
      <alignment vertical="center"/>
    </xf>
    <xf numFmtId="0" fontId="9" fillId="0" borderId="0" xfId="12" applyFont="1" applyBorder="1" applyAlignment="1">
      <alignment horizontal="center"/>
    </xf>
    <xf numFmtId="168" fontId="7" fillId="0" borderId="0" xfId="8" applyNumberFormat="1" applyFont="1" applyBorder="1" applyAlignment="1"/>
    <xf numFmtId="0" fontId="9" fillId="0" borderId="0" xfId="12" applyFont="1" applyBorder="1" applyAlignment="1">
      <alignment horizontal="center" vertical="center" wrapText="1"/>
    </xf>
    <xf numFmtId="0" fontId="9" fillId="0" borderId="0" xfId="12" applyFont="1" applyBorder="1" applyAlignment="1">
      <alignment vertical="center" wrapText="1"/>
    </xf>
    <xf numFmtId="10" fontId="10" fillId="0" borderId="0" xfId="3" applyNumberFormat="1" applyFont="1" applyBorder="1" applyAlignment="1" applyProtection="1">
      <alignment horizontal="center" vertical="center" wrapText="1"/>
    </xf>
    <xf numFmtId="0" fontId="11" fillId="0" borderId="0" xfId="12" applyFont="1" applyBorder="1" applyAlignment="1">
      <alignment horizontal="center" vertical="center" wrapText="1"/>
    </xf>
    <xf numFmtId="167" fontId="12" fillId="0" borderId="0" xfId="1" applyFont="1" applyBorder="1" applyAlignment="1" applyProtection="1">
      <alignment horizontal="center" wrapText="1"/>
    </xf>
    <xf numFmtId="167" fontId="9" fillId="0" borderId="0" xfId="1" applyFont="1" applyBorder="1" applyAlignment="1" applyProtection="1">
      <alignment horizontal="center" vertical="center" wrapText="1"/>
    </xf>
    <xf numFmtId="169" fontId="9" fillId="0" borderId="0" xfId="3" applyNumberFormat="1" applyFont="1" applyBorder="1" applyAlignment="1" applyProtection="1">
      <alignment horizontal="center" vertical="center" wrapText="1"/>
    </xf>
    <xf numFmtId="10" fontId="9" fillId="0" borderId="0" xfId="3" applyNumberFormat="1" applyFont="1" applyBorder="1" applyAlignment="1" applyProtection="1">
      <alignment horizontal="center"/>
    </xf>
    <xf numFmtId="0" fontId="11" fillId="0" borderId="0" xfId="12" applyFont="1" applyBorder="1" applyAlignment="1">
      <alignment vertical="center" wrapText="1"/>
    </xf>
    <xf numFmtId="10" fontId="11" fillId="0" borderId="0" xfId="3" applyNumberFormat="1" applyFont="1" applyBorder="1" applyAlignment="1" applyProtection="1">
      <alignment horizontal="center" vertical="center" wrapText="1"/>
    </xf>
    <xf numFmtId="10" fontId="13" fillId="0" borderId="0" xfId="3" applyNumberFormat="1" applyFont="1" applyBorder="1" applyAlignment="1" applyProtection="1">
      <alignment horizontal="center" vertical="center" wrapText="1"/>
    </xf>
    <xf numFmtId="10" fontId="9" fillId="0" borderId="0" xfId="3" applyNumberFormat="1" applyFont="1" applyBorder="1" applyAlignment="1" applyProtection="1">
      <alignment horizontal="center" vertical="center" wrapText="1"/>
    </xf>
    <xf numFmtId="170" fontId="9" fillId="0" borderId="0" xfId="3" applyNumberFormat="1" applyFont="1" applyBorder="1" applyAlignment="1" applyProtection="1">
      <alignment horizontal="center" vertical="center" wrapText="1"/>
    </xf>
    <xf numFmtId="1" fontId="9" fillId="0" borderId="0" xfId="8" applyNumberFormat="1" applyFont="1" applyBorder="1" applyAlignment="1">
      <alignment horizontal="center" wrapText="1"/>
    </xf>
    <xf numFmtId="1" fontId="9" fillId="3" borderId="0" xfId="8" applyNumberFormat="1" applyFont="1" applyFill="1" applyBorder="1" applyAlignment="1">
      <alignment horizontal="right"/>
    </xf>
    <xf numFmtId="10" fontId="9" fillId="3" borderId="0" xfId="3" applyNumberFormat="1" applyFont="1" applyFill="1" applyBorder="1" applyAlignment="1" applyProtection="1">
      <alignment horizontal="center" wrapText="1"/>
    </xf>
    <xf numFmtId="49" fontId="11" fillId="0" borderId="0" xfId="0" applyNumberFormat="1" applyFont="1" applyBorder="1" applyAlignment="1">
      <alignment horizontal="center"/>
    </xf>
    <xf numFmtId="1" fontId="14" fillId="0" borderId="0" xfId="8" applyNumberFormat="1" applyFont="1" applyBorder="1" applyAlignment="1">
      <alignment horizontal="left" wrapText="1"/>
    </xf>
    <xf numFmtId="0" fontId="11" fillId="0" borderId="0" xfId="8" applyFont="1" applyBorder="1" applyAlignment="1">
      <alignment horizontal="center" wrapText="1"/>
    </xf>
    <xf numFmtId="1" fontId="15" fillId="0" borderId="0" xfId="8" applyNumberFormat="1" applyFont="1" applyBorder="1" applyAlignment="1">
      <alignment horizontal="left" wrapText="1"/>
    </xf>
    <xf numFmtId="1" fontId="11" fillId="0" borderId="0" xfId="8" applyNumberFormat="1" applyFont="1" applyBorder="1" applyAlignment="1">
      <alignment horizontal="left"/>
    </xf>
    <xf numFmtId="1" fontId="11" fillId="0" borderId="0" xfId="8" applyNumberFormat="1" applyFont="1" applyBorder="1" applyAlignment="1">
      <alignment horizontal="center" wrapText="1"/>
    </xf>
    <xf numFmtId="0" fontId="11" fillId="0" borderId="0" xfId="8" applyFont="1" applyBorder="1" applyAlignment="1">
      <alignment horizontal="left" wrapText="1"/>
    </xf>
    <xf numFmtId="0" fontId="16" fillId="4" borderId="0" xfId="0" applyFont="1" applyFill="1" applyBorder="1" applyAlignment="1"/>
    <xf numFmtId="0" fontId="17" fillId="4" borderId="0" xfId="0" applyFont="1" applyFill="1" applyBorder="1" applyAlignment="1"/>
    <xf numFmtId="10" fontId="11" fillId="0" borderId="0" xfId="8" applyNumberFormat="1" applyFont="1" applyBorder="1" applyAlignment="1">
      <alignment horizontal="center" wrapText="1"/>
    </xf>
    <xf numFmtId="1" fontId="15" fillId="0" borderId="0" xfId="8" applyNumberFormat="1" applyFont="1" applyBorder="1" applyAlignment="1">
      <alignment horizontal="left"/>
    </xf>
    <xf numFmtId="0" fontId="8" fillId="2" borderId="0" xfId="8" applyFont="1" applyFill="1" applyBorder="1" applyAlignment="1">
      <alignment vertical="center"/>
    </xf>
    <xf numFmtId="0" fontId="9" fillId="0" borderId="2" xfId="10" applyFont="1" applyBorder="1" applyAlignment="1">
      <alignment horizontal="center"/>
    </xf>
    <xf numFmtId="0" fontId="9" fillId="0" borderId="3" xfId="10" applyFont="1" applyBorder="1" applyAlignment="1">
      <alignment horizontal="center"/>
    </xf>
    <xf numFmtId="0" fontId="9" fillId="0" borderId="2" xfId="10" applyFont="1" applyBorder="1" applyAlignment="1">
      <alignment horizontal="center" vertical="center" wrapText="1"/>
    </xf>
    <xf numFmtId="0" fontId="9" fillId="0" borderId="2" xfId="10" applyFont="1" applyBorder="1" applyAlignment="1">
      <alignment vertical="center" wrapText="1"/>
    </xf>
    <xf numFmtId="10" fontId="9" fillId="5" borderId="3" xfId="3" applyNumberFormat="1" applyFont="1" applyFill="1" applyBorder="1" applyAlignment="1" applyProtection="1">
      <alignment horizontal="center" vertical="center" wrapText="1"/>
    </xf>
    <xf numFmtId="0" fontId="11" fillId="0" borderId="2" xfId="10" applyFont="1" applyBorder="1" applyAlignment="1">
      <alignment horizontal="center" vertical="center" wrapText="1"/>
    </xf>
    <xf numFmtId="167" fontId="12" fillId="0" borderId="3" xfId="1" applyFont="1" applyBorder="1" applyAlignment="1" applyProtection="1">
      <alignment horizontal="center" wrapText="1"/>
    </xf>
    <xf numFmtId="167" fontId="9" fillId="0" borderId="3" xfId="1" applyFont="1" applyBorder="1" applyAlignment="1" applyProtection="1">
      <alignment horizontal="center" vertical="center" wrapText="1"/>
    </xf>
    <xf numFmtId="169" fontId="9" fillId="0" borderId="3" xfId="3" applyNumberFormat="1" applyFont="1" applyBorder="1" applyAlignment="1" applyProtection="1">
      <alignment horizontal="center" vertical="center" wrapText="1"/>
    </xf>
    <xf numFmtId="10" fontId="9" fillId="5" borderId="3" xfId="3" applyNumberFormat="1" applyFont="1" applyFill="1" applyBorder="1" applyAlignment="1" applyProtection="1">
      <alignment horizontal="center"/>
    </xf>
    <xf numFmtId="0" fontId="11" fillId="0" borderId="2" xfId="10" applyFont="1" applyBorder="1" applyAlignment="1">
      <alignment vertical="center" wrapText="1"/>
    </xf>
    <xf numFmtId="10" fontId="11" fillId="0" borderId="3" xfId="3" applyNumberFormat="1" applyFont="1" applyBorder="1" applyAlignment="1" applyProtection="1">
      <alignment horizontal="center" vertical="center" wrapText="1"/>
    </xf>
    <xf numFmtId="10" fontId="9" fillId="0" borderId="3" xfId="3" applyNumberFormat="1" applyFont="1" applyBorder="1" applyAlignment="1" applyProtection="1">
      <alignment horizontal="center" vertical="center" wrapText="1"/>
    </xf>
    <xf numFmtId="170" fontId="9" fillId="0" borderId="3" xfId="3" applyNumberFormat="1" applyFont="1" applyBorder="1" applyAlignment="1" applyProtection="1">
      <alignment horizontal="center" vertical="center" wrapText="1"/>
    </xf>
    <xf numFmtId="10" fontId="9" fillId="6" borderId="3" xfId="3" applyNumberFormat="1" applyFont="1" applyFill="1" applyBorder="1" applyAlignment="1" applyProtection="1">
      <alignment horizontal="center" wrapText="1"/>
    </xf>
    <xf numFmtId="0" fontId="8" fillId="0" borderId="2" xfId="8" applyFont="1" applyBorder="1" applyAlignment="1">
      <alignment horizontal="center" vertical="center"/>
    </xf>
    <xf numFmtId="0" fontId="3" fillId="0" borderId="2" xfId="8" applyFont="1" applyBorder="1" applyAlignment="1">
      <alignment horizontal="center" vertical="center"/>
    </xf>
    <xf numFmtId="0" fontId="3" fillId="0" borderId="2" xfId="8" applyFont="1" applyBorder="1" applyAlignment="1">
      <alignment vertical="center"/>
    </xf>
    <xf numFmtId="167" fontId="0" fillId="0" borderId="2" xfId="1" applyFont="1" applyBorder="1" applyAlignment="1" applyProtection="1">
      <alignment vertical="center"/>
    </xf>
    <xf numFmtId="0" fontId="8" fillId="0" borderId="2" xfId="8" applyFont="1" applyBorder="1" applyAlignment="1">
      <alignment vertical="center"/>
    </xf>
    <xf numFmtId="167" fontId="8" fillId="0" borderId="2" xfId="8" applyNumberFormat="1" applyFont="1" applyBorder="1" applyAlignment="1">
      <alignment vertical="center"/>
    </xf>
    <xf numFmtId="0" fontId="3" fillId="0" borderId="2" xfId="8" applyFont="1" applyBorder="1" applyAlignment="1">
      <alignment vertical="center" wrapText="1"/>
    </xf>
    <xf numFmtId="167" fontId="3" fillId="0" borderId="2" xfId="8" applyNumberFormat="1" applyBorder="1" applyAlignment="1">
      <alignment vertical="center"/>
    </xf>
    <xf numFmtId="167" fontId="8" fillId="7" borderId="2" xfId="8" applyNumberFormat="1" applyFont="1" applyFill="1" applyBorder="1" applyAlignment="1">
      <alignment vertical="center"/>
    </xf>
    <xf numFmtId="0" fontId="3" fillId="0" borderId="0" xfId="8" applyAlignment="1">
      <alignment vertical="center"/>
    </xf>
    <xf numFmtId="49" fontId="7" fillId="0" borderId="0" xfId="9" applyNumberFormat="1" applyFont="1" applyBorder="1" applyAlignment="1">
      <alignment horizontal="center"/>
    </xf>
    <xf numFmtId="0" fontId="7" fillId="0" borderId="0" xfId="9" applyFont="1" applyBorder="1" applyAlignment="1">
      <alignment horizontal="left" wrapText="1"/>
    </xf>
    <xf numFmtId="49" fontId="16" fillId="0" borderId="0" xfId="9" applyNumberFormat="1" applyFont="1" applyBorder="1" applyAlignment="1">
      <alignment horizontal="center"/>
    </xf>
    <xf numFmtId="0" fontId="16" fillId="0" borderId="0" xfId="9" applyFont="1" applyBorder="1" applyAlignment="1">
      <alignment horizontal="left" wrapText="1"/>
    </xf>
    <xf numFmtId="0" fontId="2" fillId="0" borderId="0" xfId="10"/>
    <xf numFmtId="168" fontId="3" fillId="0" borderId="0" xfId="8" applyNumberFormat="1" applyFont="1" applyAlignment="1">
      <alignment vertical="center"/>
    </xf>
    <xf numFmtId="168" fontId="3" fillId="0" borderId="0" xfId="8" applyNumberFormat="1" applyFont="1" applyBorder="1" applyAlignment="1">
      <alignment vertical="center"/>
    </xf>
    <xf numFmtId="0" fontId="21" fillId="0" borderId="0" xfId="10" applyFont="1" applyBorder="1" applyAlignment="1">
      <alignment horizontal="center"/>
    </xf>
    <xf numFmtId="0" fontId="22" fillId="0" borderId="9" xfId="10" applyFont="1" applyBorder="1" applyAlignment="1">
      <alignment horizontal="center"/>
    </xf>
    <xf numFmtId="0" fontId="22" fillId="0" borderId="10" xfId="10" applyFont="1" applyBorder="1" applyAlignment="1">
      <alignment horizontal="center"/>
    </xf>
    <xf numFmtId="0" fontId="23" fillId="0" borderId="11" xfId="10" applyFont="1" applyBorder="1"/>
    <xf numFmtId="0" fontId="23" fillId="0" borderId="0" xfId="10" applyFont="1" applyBorder="1"/>
    <xf numFmtId="0" fontId="23" fillId="0" borderId="9" xfId="10" applyFont="1" applyBorder="1"/>
    <xf numFmtId="0" fontId="22" fillId="0" borderId="12" xfId="10" applyFont="1" applyBorder="1" applyAlignment="1">
      <alignment horizontal="center"/>
    </xf>
    <xf numFmtId="0" fontId="22" fillId="0" borderId="5" xfId="10" applyFont="1" applyBorder="1" applyAlignment="1">
      <alignment horizontal="center"/>
    </xf>
    <xf numFmtId="0" fontId="22" fillId="0" borderId="0" xfId="10" applyFont="1" applyBorder="1" applyAlignment="1">
      <alignment horizontal="center"/>
    </xf>
    <xf numFmtId="1" fontId="24" fillId="0" borderId="13" xfId="8" applyNumberFormat="1" applyFont="1" applyBorder="1" applyAlignment="1">
      <alignment horizontal="left" vertical="center" wrapText="1"/>
    </xf>
    <xf numFmtId="0" fontId="22" fillId="0" borderId="14" xfId="10" applyFont="1" applyBorder="1"/>
    <xf numFmtId="9" fontId="23" fillId="0" borderId="15" xfId="19" applyFont="1" applyBorder="1" applyAlignment="1" applyProtection="1"/>
    <xf numFmtId="9" fontId="22" fillId="0" borderId="14" xfId="19" applyFont="1" applyBorder="1" applyAlignment="1" applyProtection="1"/>
    <xf numFmtId="9" fontId="22" fillId="0" borderId="0" xfId="19" applyFont="1" applyBorder="1" applyAlignment="1" applyProtection="1"/>
    <xf numFmtId="0" fontId="22" fillId="0" borderId="7" xfId="10" applyFont="1" applyBorder="1" applyAlignment="1">
      <alignment horizontal="center"/>
    </xf>
    <xf numFmtId="0" fontId="22" fillId="0" borderId="16" xfId="10" applyFont="1" applyBorder="1"/>
    <xf numFmtId="0" fontId="22" fillId="0" borderId="17" xfId="10" applyFont="1" applyBorder="1"/>
    <xf numFmtId="9" fontId="23" fillId="8" borderId="18" xfId="19" applyFont="1" applyFill="1" applyBorder="1" applyAlignment="1" applyProtection="1"/>
    <xf numFmtId="9" fontId="23" fillId="4" borderId="18" xfId="19" applyFont="1" applyFill="1" applyBorder="1" applyAlignment="1" applyProtection="1"/>
    <xf numFmtId="9" fontId="22" fillId="0" borderId="19" xfId="19" applyFont="1" applyBorder="1" applyAlignment="1" applyProtection="1"/>
    <xf numFmtId="0" fontId="22" fillId="0" borderId="9" xfId="10" applyFont="1" applyBorder="1"/>
    <xf numFmtId="0" fontId="22" fillId="0" borderId="20" xfId="10" applyFont="1" applyBorder="1"/>
    <xf numFmtId="167" fontId="23" fillId="0" borderId="21" xfId="23" applyFont="1" applyBorder="1" applyAlignment="1" applyProtection="1"/>
    <xf numFmtId="167" fontId="22" fillId="0" borderId="20" xfId="10" applyNumberFormat="1" applyFont="1" applyBorder="1"/>
    <xf numFmtId="167" fontId="22" fillId="0" borderId="0" xfId="10" applyNumberFormat="1" applyFont="1" applyBorder="1"/>
    <xf numFmtId="1" fontId="24" fillId="0" borderId="22" xfId="8" applyNumberFormat="1" applyFont="1" applyBorder="1" applyAlignment="1">
      <alignment horizontal="left" vertical="center" wrapText="1"/>
    </xf>
    <xf numFmtId="9" fontId="22" fillId="0" borderId="17" xfId="19" applyFont="1" applyBorder="1" applyAlignment="1" applyProtection="1"/>
    <xf numFmtId="0" fontId="22" fillId="0" borderId="19" xfId="10" applyFont="1" applyBorder="1"/>
    <xf numFmtId="0" fontId="22" fillId="0" borderId="23" xfId="10" applyFont="1" applyBorder="1"/>
    <xf numFmtId="167" fontId="22" fillId="0" borderId="23" xfId="23" applyFont="1" applyBorder="1" applyAlignment="1" applyProtection="1"/>
    <xf numFmtId="167" fontId="22" fillId="0" borderId="0" xfId="23" applyFont="1" applyBorder="1" applyAlignment="1" applyProtection="1"/>
    <xf numFmtId="1" fontId="24" fillId="0" borderId="24" xfId="8" applyNumberFormat="1" applyFont="1" applyBorder="1" applyAlignment="1">
      <alignment horizontal="left" vertical="center" wrapText="1"/>
    </xf>
    <xf numFmtId="167" fontId="22" fillId="0" borderId="20" xfId="23" applyFont="1" applyBorder="1" applyAlignment="1" applyProtection="1"/>
    <xf numFmtId="0" fontId="22" fillId="0" borderId="24" xfId="10" applyFont="1" applyBorder="1" applyAlignment="1">
      <alignment horizontal="center"/>
    </xf>
    <xf numFmtId="0" fontId="22" fillId="0" borderId="16" xfId="10" applyFont="1" applyBorder="1" applyAlignment="1">
      <alignment horizontal="center"/>
    </xf>
    <xf numFmtId="167" fontId="25" fillId="0" borderId="0" xfId="23" applyFont="1" applyBorder="1" applyAlignment="1" applyProtection="1"/>
    <xf numFmtId="167" fontId="22" fillId="0" borderId="19" xfId="23" applyFont="1" applyBorder="1" applyAlignment="1" applyProtection="1"/>
    <xf numFmtId="0" fontId="22" fillId="0" borderId="24" xfId="10" applyFont="1" applyBorder="1" applyAlignment="1">
      <alignment vertical="center"/>
    </xf>
    <xf numFmtId="0" fontId="22" fillId="0" borderId="25" xfId="10" applyFont="1" applyBorder="1" applyAlignment="1">
      <alignment vertical="center"/>
    </xf>
    <xf numFmtId="0" fontId="22" fillId="0" borderId="5" xfId="10" applyFont="1" applyBorder="1" applyAlignment="1">
      <alignment vertical="center"/>
    </xf>
    <xf numFmtId="10" fontId="23" fillId="0" borderId="10" xfId="19" applyNumberFormat="1" applyFont="1" applyBorder="1" applyAlignment="1" applyProtection="1">
      <alignment vertical="center"/>
    </xf>
    <xf numFmtId="167" fontId="22" fillId="0" borderId="8" xfId="19" applyNumberFormat="1" applyFont="1" applyBorder="1" applyAlignment="1" applyProtection="1"/>
    <xf numFmtId="167" fontId="22" fillId="0" borderId="0" xfId="19" applyNumberFormat="1" applyFont="1" applyBorder="1" applyAlignment="1" applyProtection="1"/>
    <xf numFmtId="0" fontId="22" fillId="0" borderId="12" xfId="10" applyFont="1" applyBorder="1" applyAlignment="1">
      <alignment vertical="center"/>
    </xf>
    <xf numFmtId="0" fontId="22" fillId="0" borderId="26" xfId="10" applyFont="1" applyBorder="1" applyAlignment="1">
      <alignment vertical="center"/>
    </xf>
    <xf numFmtId="0" fontId="22" fillId="0" borderId="8" xfId="10" applyFont="1" applyBorder="1" applyAlignment="1">
      <alignment vertical="center"/>
    </xf>
    <xf numFmtId="10" fontId="23" fillId="0" borderId="20" xfId="10" applyNumberFormat="1" applyFont="1" applyBorder="1" applyAlignment="1">
      <alignment vertical="center"/>
    </xf>
    <xf numFmtId="167" fontId="22" fillId="0" borderId="27" xfId="10" applyNumberFormat="1" applyFont="1" applyBorder="1"/>
    <xf numFmtId="167" fontId="23" fillId="0" borderId="20" xfId="23" applyFont="1" applyBorder="1" applyAlignment="1" applyProtection="1">
      <alignment vertical="center"/>
    </xf>
    <xf numFmtId="167" fontId="26" fillId="0" borderId="27" xfId="23" applyFont="1" applyBorder="1" applyAlignment="1" applyProtection="1">
      <alignment vertical="center"/>
    </xf>
    <xf numFmtId="167" fontId="26" fillId="0" borderId="0" xfId="23" applyFont="1" applyBorder="1" applyAlignment="1" applyProtection="1">
      <alignment vertical="center"/>
    </xf>
    <xf numFmtId="0" fontId="22" fillId="0" borderId="9" xfId="10" applyFont="1" applyBorder="1" applyAlignment="1">
      <alignment vertical="center"/>
    </xf>
    <xf numFmtId="0" fontId="22" fillId="0" borderId="28" xfId="10" applyFont="1" applyBorder="1" applyAlignment="1">
      <alignment vertical="center"/>
    </xf>
    <xf numFmtId="0" fontId="22" fillId="0" borderId="10" xfId="10" applyFont="1" applyBorder="1" applyAlignment="1">
      <alignment vertical="center"/>
    </xf>
    <xf numFmtId="0" fontId="27" fillId="0" borderId="12" xfId="10" applyFont="1" applyBorder="1" applyAlignment="1">
      <alignment vertical="center"/>
    </xf>
    <xf numFmtId="0" fontId="28" fillId="0" borderId="27" xfId="10" applyFont="1" applyBorder="1"/>
    <xf numFmtId="0" fontId="27" fillId="0" borderId="8" xfId="10" applyFont="1" applyBorder="1"/>
    <xf numFmtId="167" fontId="29" fillId="0" borderId="8" xfId="10" applyNumberFormat="1" applyFont="1" applyBorder="1" applyAlignment="1">
      <alignment vertical="center"/>
    </xf>
    <xf numFmtId="0" fontId="27" fillId="0" borderId="27" xfId="10" applyFont="1" applyBorder="1"/>
    <xf numFmtId="0" fontId="27" fillId="0" borderId="0" xfId="10" applyFont="1" applyBorder="1"/>
    <xf numFmtId="168" fontId="3" fillId="0" borderId="0" xfId="0" applyNumberFormat="1" applyFont="1" applyAlignment="1">
      <alignment vertical="center"/>
    </xf>
    <xf numFmtId="168" fontId="3" fillId="0" borderId="0" xfId="0" applyNumberFormat="1" applyFont="1" applyBorder="1" applyAlignment="1">
      <alignment vertical="center"/>
    </xf>
    <xf numFmtId="168" fontId="31" fillId="0" borderId="8" xfId="0" applyNumberFormat="1" applyFont="1" applyBorder="1" applyAlignment="1">
      <alignment horizontal="center" vertical="center"/>
    </xf>
    <xf numFmtId="168" fontId="3" fillId="0" borderId="4" xfId="0" applyNumberFormat="1" applyFont="1" applyBorder="1" applyAlignment="1">
      <alignment vertical="center"/>
    </xf>
    <xf numFmtId="49" fontId="32" fillId="0" borderId="4" xfId="0" applyNumberFormat="1" applyFont="1" applyBorder="1" applyAlignment="1">
      <alignment horizontal="center" vertical="center"/>
    </xf>
    <xf numFmtId="168" fontId="32" fillId="0" borderId="4" xfId="0" applyNumberFormat="1" applyFont="1" applyBorder="1" applyAlignment="1">
      <alignment horizontal="center" vertical="center"/>
    </xf>
    <xf numFmtId="171" fontId="3" fillId="0" borderId="2" xfId="0" applyNumberFormat="1" applyFont="1" applyBorder="1" applyAlignment="1">
      <alignment vertical="center"/>
    </xf>
    <xf numFmtId="49" fontId="32" fillId="0" borderId="2" xfId="0" applyNumberFormat="1" applyFont="1" applyBorder="1" applyAlignment="1">
      <alignment horizontal="center" vertical="center"/>
    </xf>
    <xf numFmtId="168" fontId="32" fillId="0" borderId="2" xfId="0" applyNumberFormat="1" applyFont="1" applyBorder="1" applyAlignment="1">
      <alignment horizontal="center" vertical="center"/>
    </xf>
    <xf numFmtId="171" fontId="33" fillId="0" borderId="2" xfId="0" applyNumberFormat="1" applyFont="1" applyBorder="1" applyAlignment="1">
      <alignment vertical="center"/>
    </xf>
    <xf numFmtId="0" fontId="31" fillId="4" borderId="2" xfId="0" applyFont="1" applyFill="1" applyBorder="1" applyAlignment="1">
      <alignment horizontal="center" vertical="center"/>
    </xf>
    <xf numFmtId="0" fontId="31" fillId="4" borderId="2" xfId="0" applyFont="1" applyFill="1" applyBorder="1" applyAlignment="1">
      <alignment vertical="center"/>
    </xf>
    <xf numFmtId="0" fontId="33" fillId="4" borderId="2" xfId="0" applyFont="1" applyFill="1" applyBorder="1" applyAlignment="1">
      <alignment horizontal="center" vertical="center"/>
    </xf>
    <xf numFmtId="167" fontId="33" fillId="4" borderId="2" xfId="1" applyFont="1" applyFill="1" applyBorder="1" applyAlignment="1" applyProtection="1">
      <alignment horizontal="center" vertical="center"/>
    </xf>
    <xf numFmtId="171" fontId="34" fillId="0" borderId="2" xfId="0" applyNumberFormat="1" applyFont="1" applyBorder="1" applyAlignment="1">
      <alignment horizontal="center" vertical="center"/>
    </xf>
    <xf numFmtId="0" fontId="33" fillId="0" borderId="2" xfId="16" applyFont="1" applyBorder="1" applyAlignment="1">
      <alignment wrapText="1"/>
    </xf>
    <xf numFmtId="0" fontId="33" fillId="0" borderId="2" xfId="16" applyFont="1" applyBorder="1" applyAlignment="1">
      <alignment horizontal="center" vertical="center"/>
    </xf>
    <xf numFmtId="167" fontId="33" fillId="0" borderId="2" xfId="1" applyFont="1" applyBorder="1" applyAlignment="1" applyProtection="1">
      <alignment horizontal="center" vertical="center"/>
    </xf>
    <xf numFmtId="167" fontId="33" fillId="0" borderId="2" xfId="1" applyFont="1" applyBorder="1" applyAlignment="1" applyProtection="1">
      <alignment vertical="center"/>
    </xf>
    <xf numFmtId="0" fontId="33" fillId="0" borderId="2" xfId="15" applyFont="1" applyBorder="1"/>
    <xf numFmtId="0" fontId="33" fillId="0" borderId="2" xfId="15" applyFont="1" applyBorder="1" applyAlignment="1">
      <alignment horizontal="center"/>
    </xf>
    <xf numFmtId="167" fontId="33" fillId="0" borderId="2" xfId="1" applyFont="1" applyBorder="1" applyAlignment="1" applyProtection="1">
      <alignment horizontal="right"/>
    </xf>
    <xf numFmtId="1" fontId="33" fillId="0" borderId="2" xfId="16" applyNumberFormat="1" applyFont="1" applyBorder="1" applyAlignment="1">
      <alignment horizontal="center" vertical="center"/>
    </xf>
    <xf numFmtId="167" fontId="33" fillId="0" borderId="2" xfId="16" applyNumberFormat="1" applyFont="1" applyBorder="1" applyAlignment="1">
      <alignment vertical="center"/>
    </xf>
    <xf numFmtId="168" fontId="36" fillId="0" borderId="0" xfId="0" applyNumberFormat="1" applyFont="1" applyBorder="1" applyAlignment="1">
      <alignment horizontal="center" vertical="center"/>
    </xf>
    <xf numFmtId="167" fontId="3" fillId="0" borderId="2" xfId="16" applyNumberFormat="1" applyFont="1" applyBorder="1" applyAlignment="1">
      <alignment vertical="center"/>
    </xf>
    <xf numFmtId="168" fontId="37" fillId="0" borderId="0" xfId="0" applyNumberFormat="1" applyFont="1" applyBorder="1" applyAlignment="1">
      <alignment horizontal="center" vertical="center"/>
    </xf>
    <xf numFmtId="168" fontId="37" fillId="0" borderId="0" xfId="0" applyNumberFormat="1" applyFont="1" applyBorder="1" applyAlignment="1">
      <alignment vertical="center"/>
    </xf>
    <xf numFmtId="168" fontId="37" fillId="0" borderId="0" xfId="1" applyNumberFormat="1" applyFont="1" applyBorder="1" applyAlignment="1" applyProtection="1">
      <alignment horizontal="right" vertical="center"/>
    </xf>
    <xf numFmtId="168" fontId="3" fillId="0" borderId="0" xfId="1" applyNumberFormat="1" applyFont="1" applyBorder="1" applyAlignment="1" applyProtection="1">
      <alignment vertical="center"/>
    </xf>
    <xf numFmtId="0" fontId="3" fillId="0" borderId="0" xfId="16" applyFont="1" applyBorder="1" applyAlignment="1">
      <alignment wrapText="1"/>
    </xf>
    <xf numFmtId="168" fontId="37" fillId="0" borderId="0" xfId="0" applyNumberFormat="1" applyFont="1" applyAlignment="1">
      <alignment vertical="center"/>
    </xf>
    <xf numFmtId="0" fontId="33" fillId="0" borderId="0" xfId="0" applyFont="1" applyBorder="1" applyAlignment="1">
      <alignment vertical="center"/>
    </xf>
    <xf numFmtId="0" fontId="33" fillId="0" borderId="0" xfId="0" applyFont="1" applyBorder="1" applyAlignment="1">
      <alignment horizontal="right" vertical="center"/>
    </xf>
    <xf numFmtId="0" fontId="33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39" fillId="0" borderId="28" xfId="0" applyFont="1" applyBorder="1" applyAlignment="1">
      <alignment horizontal="center" vertical="center"/>
    </xf>
    <xf numFmtId="0" fontId="40" fillId="0" borderId="0" xfId="0" applyFont="1" applyAlignment="1">
      <alignment vertical="center"/>
    </xf>
    <xf numFmtId="49" fontId="31" fillId="0" borderId="12" xfId="0" applyNumberFormat="1" applyFont="1" applyBorder="1" applyAlignment="1">
      <alignment horizontal="center" vertical="center"/>
    </xf>
    <xf numFmtId="0" fontId="31" fillId="0" borderId="31" xfId="0" applyFont="1" applyBorder="1" applyAlignment="1">
      <alignment vertical="center"/>
    </xf>
    <xf numFmtId="0" fontId="31" fillId="0" borderId="26" xfId="0" applyFont="1" applyBorder="1" applyAlignment="1">
      <alignment horizontal="right" vertical="center"/>
    </xf>
    <xf numFmtId="49" fontId="31" fillId="0" borderId="27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vertical="center"/>
    </xf>
    <xf numFmtId="0" fontId="33" fillId="0" borderId="33" xfId="0" applyFont="1" applyBorder="1" applyAlignment="1">
      <alignment vertical="center"/>
    </xf>
    <xf numFmtId="0" fontId="33" fillId="0" borderId="4" xfId="0" applyFont="1" applyBorder="1" applyAlignment="1">
      <alignment horizontal="center" vertical="center"/>
    </xf>
    <xf numFmtId="49" fontId="33" fillId="0" borderId="1" xfId="0" applyNumberFormat="1" applyFont="1" applyBorder="1" applyAlignment="1">
      <alignment horizontal="center" vertical="center"/>
    </xf>
    <xf numFmtId="168" fontId="33" fillId="0" borderId="1" xfId="0" applyNumberFormat="1" applyFont="1" applyBorder="1" applyAlignment="1">
      <alignment horizontal="center" vertical="center"/>
    </xf>
    <xf numFmtId="0" fontId="33" fillId="0" borderId="1" xfId="0" applyFont="1" applyBorder="1" applyAlignment="1">
      <alignment vertical="center"/>
    </xf>
    <xf numFmtId="2" fontId="33" fillId="0" borderId="35" xfId="0" applyNumberFormat="1" applyFont="1" applyBorder="1" applyAlignment="1">
      <alignment horizontal="right" vertical="center"/>
    </xf>
    <xf numFmtId="0" fontId="33" fillId="0" borderId="1" xfId="0" applyFont="1" applyBorder="1" applyAlignment="1">
      <alignment horizontal="center" vertical="center"/>
    </xf>
    <xf numFmtId="10" fontId="33" fillId="0" borderId="1" xfId="0" applyNumberFormat="1" applyFont="1" applyBorder="1" applyAlignment="1">
      <alignment horizontal="center" vertical="center"/>
    </xf>
    <xf numFmtId="0" fontId="33" fillId="0" borderId="33" xfId="0" applyFont="1" applyBorder="1" applyAlignment="1">
      <alignment horizontal="center" vertical="center"/>
    </xf>
    <xf numFmtId="0" fontId="31" fillId="0" borderId="12" xfId="0" applyFont="1" applyBorder="1" applyAlignment="1">
      <alignment vertical="center"/>
    </xf>
    <xf numFmtId="0" fontId="31" fillId="0" borderId="26" xfId="0" applyFont="1" applyBorder="1" applyAlignment="1">
      <alignment horizontal="center" vertical="center"/>
    </xf>
    <xf numFmtId="0" fontId="31" fillId="0" borderId="26" xfId="0" applyFont="1" applyBorder="1" applyAlignment="1">
      <alignment vertical="center"/>
    </xf>
    <xf numFmtId="2" fontId="31" fillId="0" borderId="8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horizontal="center" vertical="center"/>
    </xf>
    <xf numFmtId="168" fontId="33" fillId="0" borderId="1" xfId="0" applyNumberFormat="1" applyFont="1" applyBorder="1" applyAlignment="1">
      <alignment vertical="center"/>
    </xf>
    <xf numFmtId="168" fontId="33" fillId="0" borderId="33" xfId="0" applyNumberFormat="1" applyFont="1" applyBorder="1" applyAlignment="1">
      <alignment vertical="center"/>
    </xf>
    <xf numFmtId="168" fontId="33" fillId="0" borderId="35" xfId="0" applyNumberFormat="1" applyFont="1" applyBorder="1" applyAlignment="1">
      <alignment horizontal="right" vertical="center"/>
    </xf>
    <xf numFmtId="168" fontId="33" fillId="0" borderId="17" xfId="0" applyNumberFormat="1" applyFont="1" applyBorder="1" applyAlignment="1">
      <alignment horizontal="right" vertical="center"/>
    </xf>
    <xf numFmtId="10" fontId="33" fillId="0" borderId="33" xfId="0" applyNumberFormat="1" applyFont="1" applyBorder="1" applyAlignment="1">
      <alignment vertical="center"/>
    </xf>
    <xf numFmtId="0" fontId="33" fillId="0" borderId="25" xfId="0" applyFont="1" applyBorder="1" applyAlignment="1">
      <alignment vertical="center"/>
    </xf>
    <xf numFmtId="2" fontId="33" fillId="0" borderId="0" xfId="0" applyNumberFormat="1" applyFont="1" applyAlignment="1">
      <alignment horizontal="right" vertical="center"/>
    </xf>
    <xf numFmtId="0" fontId="31" fillId="0" borderId="37" xfId="0" applyFont="1" applyBorder="1" applyAlignment="1">
      <alignment horizontal="center" vertical="center"/>
    </xf>
    <xf numFmtId="0" fontId="31" fillId="0" borderId="32" xfId="0" applyFont="1" applyBorder="1" applyAlignment="1">
      <alignment vertical="center"/>
    </xf>
    <xf numFmtId="2" fontId="31" fillId="0" borderId="27" xfId="0" applyNumberFormat="1" applyFont="1" applyBorder="1" applyAlignment="1">
      <alignment horizontal="center" vertical="center"/>
    </xf>
    <xf numFmtId="0" fontId="33" fillId="0" borderId="38" xfId="0" applyFont="1" applyBorder="1" applyAlignment="1">
      <alignment vertical="center"/>
    </xf>
    <xf numFmtId="0" fontId="33" fillId="0" borderId="39" xfId="0" applyFont="1" applyBorder="1" applyAlignment="1">
      <alignment vertical="center"/>
    </xf>
    <xf numFmtId="0" fontId="33" fillId="0" borderId="40" xfId="0" applyFont="1" applyBorder="1" applyAlignment="1">
      <alignment vertical="center"/>
    </xf>
    <xf numFmtId="49" fontId="33" fillId="0" borderId="4" xfId="0" applyNumberFormat="1" applyFont="1" applyBorder="1" applyAlignment="1">
      <alignment horizontal="center" vertical="center"/>
    </xf>
    <xf numFmtId="168" fontId="33" fillId="0" borderId="4" xfId="0" applyNumberFormat="1" applyFont="1" applyBorder="1" applyAlignment="1">
      <alignment horizontal="center" vertical="center"/>
    </xf>
    <xf numFmtId="168" fontId="33" fillId="0" borderId="2" xfId="0" applyNumberFormat="1" applyFont="1" applyBorder="1" applyAlignment="1">
      <alignment horizontal="center" vertical="center"/>
    </xf>
    <xf numFmtId="168" fontId="33" fillId="0" borderId="41" xfId="0" applyNumberFormat="1" applyFont="1" applyBorder="1" applyAlignment="1">
      <alignment horizontal="right" vertical="center"/>
    </xf>
    <xf numFmtId="0" fontId="31" fillId="0" borderId="33" xfId="0" applyFont="1" applyBorder="1" applyAlignment="1">
      <alignment horizontal="center" vertical="center"/>
    </xf>
    <xf numFmtId="10" fontId="33" fillId="0" borderId="4" xfId="0" applyNumberFormat="1" applyFont="1" applyBorder="1" applyAlignment="1">
      <alignment horizontal="center" vertical="center"/>
    </xf>
    <xf numFmtId="0" fontId="33" fillId="0" borderId="39" xfId="0" applyFont="1" applyBorder="1" applyAlignment="1">
      <alignment horizontal="center" vertical="center"/>
    </xf>
    <xf numFmtId="2" fontId="31" fillId="0" borderId="26" xfId="0" applyNumberFormat="1" applyFont="1" applyBorder="1" applyAlignment="1">
      <alignment vertical="center"/>
    </xf>
    <xf numFmtId="2" fontId="31" fillId="0" borderId="27" xfId="0" applyNumberFormat="1" applyFont="1" applyBorder="1" applyAlignment="1">
      <alignment vertical="center"/>
    </xf>
    <xf numFmtId="168" fontId="31" fillId="0" borderId="8" xfId="0" applyNumberFormat="1" applyFont="1" applyBorder="1" applyAlignment="1">
      <alignment horizontal="right" vertical="center"/>
    </xf>
    <xf numFmtId="0" fontId="33" fillId="0" borderId="42" xfId="0" applyFont="1" applyBorder="1" applyAlignment="1">
      <alignment horizontal="center" vertical="center"/>
    </xf>
    <xf numFmtId="0" fontId="33" fillId="0" borderId="43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8" xfId="0" applyFont="1" applyBorder="1" applyAlignment="1">
      <alignment horizontal="left" vertical="center"/>
    </xf>
    <xf numFmtId="0" fontId="33" fillId="0" borderId="39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33" fillId="0" borderId="33" xfId="0" applyFont="1" applyBorder="1" applyAlignment="1">
      <alignment horizontal="justify" vertical="center"/>
    </xf>
    <xf numFmtId="168" fontId="33" fillId="0" borderId="43" xfId="0" applyNumberFormat="1" applyFont="1" applyBorder="1" applyAlignment="1">
      <alignment horizontal="center" vertical="center"/>
    </xf>
    <xf numFmtId="168" fontId="33" fillId="0" borderId="0" xfId="0" applyNumberFormat="1" applyFont="1" applyBorder="1" applyAlignment="1">
      <alignment vertical="center"/>
    </xf>
    <xf numFmtId="168" fontId="33" fillId="0" borderId="44" xfId="0" applyNumberFormat="1" applyFont="1" applyBorder="1" applyAlignment="1">
      <alignment horizontal="right" vertical="center"/>
    </xf>
    <xf numFmtId="0" fontId="33" fillId="0" borderId="41" xfId="0" applyFont="1" applyBorder="1" applyAlignment="1">
      <alignment horizontal="center" vertical="center"/>
    </xf>
    <xf numFmtId="0" fontId="33" fillId="0" borderId="9" xfId="0" applyFont="1" applyBorder="1" applyAlignment="1">
      <alignment vertical="center"/>
    </xf>
    <xf numFmtId="0" fontId="33" fillId="0" borderId="28" xfId="0" applyFont="1" applyBorder="1" applyAlignment="1">
      <alignment vertical="center"/>
    </xf>
    <xf numFmtId="0" fontId="33" fillId="0" borderId="28" xfId="0" applyFont="1" applyBorder="1" applyAlignment="1">
      <alignment horizontal="center" vertical="center"/>
    </xf>
    <xf numFmtId="0" fontId="33" fillId="0" borderId="26" xfId="0" applyFont="1" applyBorder="1" applyAlignment="1">
      <alignment vertical="center"/>
    </xf>
    <xf numFmtId="0" fontId="33" fillId="0" borderId="26" xfId="0" applyFont="1" applyBorder="1" applyAlignment="1">
      <alignment horizontal="center" vertical="center"/>
    </xf>
    <xf numFmtId="168" fontId="33" fillId="0" borderId="8" xfId="0" applyNumberFormat="1" applyFont="1" applyBorder="1" applyAlignment="1">
      <alignment horizontal="right" vertical="center"/>
    </xf>
    <xf numFmtId="0" fontId="33" fillId="0" borderId="12" xfId="0" applyFont="1" applyBorder="1" applyAlignment="1">
      <alignment vertical="center"/>
    </xf>
    <xf numFmtId="10" fontId="33" fillId="0" borderId="26" xfId="0" applyNumberFormat="1" applyFont="1" applyBorder="1" applyAlignment="1">
      <alignment vertical="center"/>
    </xf>
    <xf numFmtId="0" fontId="31" fillId="0" borderId="31" xfId="0" applyFont="1" applyBorder="1" applyAlignment="1">
      <alignment horizontal="right" vertical="center"/>
    </xf>
    <xf numFmtId="0" fontId="31" fillId="0" borderId="27" xfId="0" applyFont="1" applyBorder="1" applyAlignment="1">
      <alignment horizontal="center" vertical="center"/>
    </xf>
    <xf numFmtId="0" fontId="33" fillId="0" borderId="45" xfId="0" applyFont="1" applyBorder="1" applyAlignment="1">
      <alignment vertical="center"/>
    </xf>
    <xf numFmtId="0" fontId="33" fillId="0" borderId="44" xfId="0" applyFont="1" applyBorder="1" applyAlignment="1">
      <alignment horizontal="right" vertical="center"/>
    </xf>
    <xf numFmtId="168" fontId="33" fillId="0" borderId="0" xfId="0" applyNumberFormat="1" applyFont="1" applyBorder="1" applyAlignment="1">
      <alignment horizontal="center" vertical="center"/>
    </xf>
    <xf numFmtId="168" fontId="31" fillId="0" borderId="44" xfId="0" applyNumberFormat="1" applyFont="1" applyBorder="1" applyAlignment="1">
      <alignment horizontal="right" vertical="center"/>
    </xf>
    <xf numFmtId="10" fontId="33" fillId="0" borderId="12" xfId="0" applyNumberFormat="1" applyFont="1" applyBorder="1" applyAlignment="1">
      <alignment horizontal="center" vertical="center"/>
    </xf>
    <xf numFmtId="0" fontId="31" fillId="0" borderId="9" xfId="0" applyFont="1" applyBorder="1" applyAlignment="1">
      <alignment vertical="center"/>
    </xf>
    <xf numFmtId="0" fontId="31" fillId="0" borderId="28" xfId="0" applyFont="1" applyBorder="1" applyAlignment="1">
      <alignment horizontal="center" vertical="center"/>
    </xf>
    <xf numFmtId="2" fontId="31" fillId="0" borderId="28" xfId="0" applyNumberFormat="1" applyFont="1" applyBorder="1" applyAlignment="1">
      <alignment vertical="center"/>
    </xf>
    <xf numFmtId="168" fontId="31" fillId="0" borderId="10" xfId="0" applyNumberFormat="1" applyFont="1" applyBorder="1" applyAlignment="1">
      <alignment horizontal="right" vertical="center"/>
    </xf>
    <xf numFmtId="0" fontId="33" fillId="0" borderId="3" xfId="0" applyFont="1" applyBorder="1" applyAlignment="1">
      <alignment vertical="center"/>
    </xf>
    <xf numFmtId="2" fontId="33" fillId="0" borderId="41" xfId="0" applyNumberFormat="1" applyFont="1" applyBorder="1" applyAlignment="1">
      <alignment horizontal="right" vertical="center"/>
    </xf>
    <xf numFmtId="0" fontId="33" fillId="0" borderId="0" xfId="0" applyFont="1" applyAlignment="1">
      <alignment horizontal="left" vertical="center"/>
    </xf>
    <xf numFmtId="168" fontId="33" fillId="0" borderId="3" xfId="0" applyNumberFormat="1" applyFont="1" applyBorder="1" applyAlignment="1">
      <alignment vertical="center"/>
    </xf>
    <xf numFmtId="168" fontId="33" fillId="0" borderId="39" xfId="0" applyNumberFormat="1" applyFont="1" applyBorder="1" applyAlignment="1">
      <alignment vertical="center"/>
    </xf>
    <xf numFmtId="168" fontId="33" fillId="0" borderId="0" xfId="0" applyNumberFormat="1" applyFont="1" applyAlignment="1">
      <alignment vertical="center"/>
    </xf>
    <xf numFmtId="168" fontId="33" fillId="0" borderId="19" xfId="0" applyNumberFormat="1" applyFont="1" applyBorder="1" applyAlignment="1">
      <alignment horizontal="right" vertical="center"/>
    </xf>
    <xf numFmtId="0" fontId="31" fillId="0" borderId="25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168" fontId="31" fillId="0" borderId="0" xfId="0" applyNumberFormat="1" applyFont="1" applyBorder="1" applyAlignment="1">
      <alignment horizontal="right" vertical="center"/>
    </xf>
    <xf numFmtId="0" fontId="31" fillId="0" borderId="25" xfId="0" applyFont="1" applyBorder="1" applyAlignment="1">
      <alignment vertical="center"/>
    </xf>
    <xf numFmtId="0" fontId="31" fillId="0" borderId="13" xfId="0" applyFont="1" applyBorder="1" applyAlignment="1">
      <alignment horizontal="right" vertical="center"/>
    </xf>
    <xf numFmtId="0" fontId="31" fillId="0" borderId="47" xfId="0" applyFont="1" applyBorder="1" applyAlignment="1">
      <alignment horizontal="center" vertical="center"/>
    </xf>
    <xf numFmtId="0" fontId="33" fillId="0" borderId="32" xfId="0" applyFont="1" applyBorder="1" applyAlignment="1">
      <alignment vertical="center"/>
    </xf>
    <xf numFmtId="0" fontId="33" fillId="0" borderId="48" xfId="0" applyFont="1" applyBorder="1" applyAlignment="1">
      <alignment horizontal="center" vertical="center"/>
    </xf>
    <xf numFmtId="0" fontId="33" fillId="0" borderId="31" xfId="0" applyFont="1" applyBorder="1" applyAlignment="1">
      <alignment horizontal="center" vertical="center"/>
    </xf>
    <xf numFmtId="0" fontId="33" fillId="0" borderId="15" xfId="0" applyFont="1" applyBorder="1" applyAlignment="1">
      <alignment vertical="center"/>
    </xf>
    <xf numFmtId="0" fontId="33" fillId="0" borderId="49" xfId="0" applyFont="1" applyBorder="1" applyAlignment="1">
      <alignment vertical="center"/>
    </xf>
    <xf numFmtId="0" fontId="33" fillId="0" borderId="50" xfId="0" applyFont="1" applyBorder="1" applyAlignment="1">
      <alignment horizontal="center" vertical="center"/>
    </xf>
    <xf numFmtId="168" fontId="33" fillId="0" borderId="50" xfId="0" applyNumberFormat="1" applyFont="1" applyBorder="1" applyAlignment="1">
      <alignment horizontal="center" vertical="center"/>
    </xf>
    <xf numFmtId="168" fontId="33" fillId="0" borderId="51" xfId="0" applyNumberFormat="1" applyFont="1" applyBorder="1" applyAlignment="1">
      <alignment horizontal="center" vertical="center"/>
    </xf>
    <xf numFmtId="168" fontId="33" fillId="0" borderId="4" xfId="0" applyNumberFormat="1" applyFont="1" applyBorder="1" applyAlignment="1">
      <alignment vertical="center"/>
    </xf>
    <xf numFmtId="168" fontId="33" fillId="0" borderId="4" xfId="0" applyNumberFormat="1" applyFont="1" applyBorder="1" applyAlignment="1">
      <alignment horizontal="right" vertical="center"/>
    </xf>
    <xf numFmtId="168" fontId="33" fillId="0" borderId="3" xfId="0" applyNumberFormat="1" applyFont="1" applyBorder="1" applyAlignment="1">
      <alignment horizontal="center" vertical="center"/>
    </xf>
    <xf numFmtId="168" fontId="33" fillId="0" borderId="2" xfId="0" applyNumberFormat="1" applyFont="1" applyBorder="1" applyAlignment="1">
      <alignment vertical="center"/>
    </xf>
    <xf numFmtId="168" fontId="33" fillId="0" borderId="2" xfId="0" applyNumberFormat="1" applyFont="1" applyBorder="1" applyAlignment="1">
      <alignment horizontal="right" vertical="center"/>
    </xf>
    <xf numFmtId="0" fontId="33" fillId="0" borderId="2" xfId="0" applyFont="1" applyBorder="1" applyAlignment="1">
      <alignment vertical="center"/>
    </xf>
    <xf numFmtId="0" fontId="33" fillId="0" borderId="52" xfId="0" applyFont="1" applyBorder="1" applyAlignment="1">
      <alignment horizontal="center" vertical="center"/>
    </xf>
    <xf numFmtId="168" fontId="33" fillId="0" borderId="22" xfId="0" applyNumberFormat="1" applyFont="1" applyBorder="1" applyAlignment="1">
      <alignment vertical="center"/>
    </xf>
    <xf numFmtId="168" fontId="33" fillId="0" borderId="48" xfId="0" applyNumberFormat="1" applyFont="1" applyBorder="1" applyAlignment="1">
      <alignment horizontal="center" vertical="center"/>
    </xf>
    <xf numFmtId="168" fontId="33" fillId="0" borderId="31" xfId="0" applyNumberFormat="1" applyFont="1" applyBorder="1" applyAlignment="1">
      <alignment vertical="center"/>
    </xf>
    <xf numFmtId="168" fontId="33" fillId="0" borderId="26" xfId="0" applyNumberFormat="1" applyFont="1" applyBorder="1" applyAlignment="1">
      <alignment vertical="center"/>
    </xf>
    <xf numFmtId="168" fontId="33" fillId="0" borderId="27" xfId="0" applyNumberFormat="1" applyFont="1" applyBorder="1" applyAlignment="1">
      <alignment horizontal="right" vertical="center"/>
    </xf>
    <xf numFmtId="0" fontId="31" fillId="0" borderId="0" xfId="0" applyFont="1" applyBorder="1" applyAlignment="1">
      <alignment vertical="center"/>
    </xf>
    <xf numFmtId="2" fontId="31" fillId="0" borderId="0" xfId="0" applyNumberFormat="1" applyFont="1" applyBorder="1" applyAlignment="1">
      <alignment vertical="center"/>
    </xf>
    <xf numFmtId="2" fontId="31" fillId="0" borderId="0" xfId="0" applyNumberFormat="1" applyFont="1" applyBorder="1" applyAlignment="1">
      <alignment horizontal="right" vertical="center"/>
    </xf>
    <xf numFmtId="0" fontId="33" fillId="0" borderId="45" xfId="0" applyFont="1" applyBorder="1" applyAlignment="1">
      <alignment horizontal="center" vertical="center"/>
    </xf>
    <xf numFmtId="168" fontId="33" fillId="0" borderId="45" xfId="0" applyNumberFormat="1" applyFont="1" applyBorder="1" applyAlignment="1">
      <alignment horizontal="center" vertical="center"/>
    </xf>
    <xf numFmtId="168" fontId="33" fillId="0" borderId="42" xfId="0" applyNumberFormat="1" applyFont="1" applyBorder="1" applyAlignment="1">
      <alignment horizontal="center" vertical="center"/>
    </xf>
    <xf numFmtId="0" fontId="33" fillId="0" borderId="54" xfId="0" applyFont="1" applyBorder="1" applyAlignment="1">
      <alignment horizontal="center" vertical="center"/>
    </xf>
    <xf numFmtId="2" fontId="33" fillId="0" borderId="2" xfId="0" applyNumberFormat="1" applyFont="1" applyBorder="1" applyAlignment="1">
      <alignment horizontal="center" vertical="center"/>
    </xf>
    <xf numFmtId="2" fontId="33" fillId="0" borderId="3" xfId="0" applyNumberFormat="1" applyFont="1" applyBorder="1" applyAlignment="1">
      <alignment vertical="center"/>
    </xf>
    <xf numFmtId="2" fontId="33" fillId="0" borderId="39" xfId="0" applyNumberFormat="1" applyFont="1" applyBorder="1" applyAlignment="1">
      <alignment vertical="center"/>
    </xf>
    <xf numFmtId="175" fontId="31" fillId="0" borderId="31" xfId="2" applyFont="1" applyBorder="1" applyAlignment="1" applyProtection="1">
      <alignment vertical="center"/>
    </xf>
    <xf numFmtId="0" fontId="31" fillId="0" borderId="49" xfId="0" applyFont="1" applyBorder="1" applyAlignment="1">
      <alignment horizontal="right" vertical="center"/>
    </xf>
    <xf numFmtId="0" fontId="31" fillId="0" borderId="55" xfId="0" applyFont="1" applyBorder="1" applyAlignment="1">
      <alignment horizontal="center" vertical="center"/>
    </xf>
    <xf numFmtId="0" fontId="33" fillId="0" borderId="29" xfId="0" applyFont="1" applyBorder="1" applyAlignment="1">
      <alignment vertical="center"/>
    </xf>
    <xf numFmtId="0" fontId="33" fillId="0" borderId="4" xfId="0" applyFont="1" applyBorder="1" applyAlignment="1">
      <alignment vertical="center"/>
    </xf>
    <xf numFmtId="176" fontId="33" fillId="0" borderId="4" xfId="0" applyNumberFormat="1" applyFont="1" applyBorder="1" applyAlignment="1">
      <alignment vertical="center"/>
    </xf>
    <xf numFmtId="10" fontId="33" fillId="0" borderId="4" xfId="0" applyNumberFormat="1" applyFont="1" applyBorder="1" applyAlignment="1">
      <alignment vertical="center"/>
    </xf>
    <xf numFmtId="0" fontId="31" fillId="0" borderId="48" xfId="0" applyFont="1" applyBorder="1" applyAlignment="1">
      <alignment horizontal="center" vertical="center"/>
    </xf>
    <xf numFmtId="168" fontId="33" fillId="0" borderId="33" xfId="0" applyNumberFormat="1" applyFont="1" applyBorder="1" applyAlignment="1">
      <alignment horizontal="right" vertical="center"/>
    </xf>
    <xf numFmtId="168" fontId="33" fillId="0" borderId="39" xfId="0" applyNumberFormat="1" applyFont="1" applyBorder="1" applyAlignment="1">
      <alignment horizontal="right" vertical="center"/>
    </xf>
    <xf numFmtId="0" fontId="33" fillId="0" borderId="30" xfId="0" applyFont="1" applyBorder="1" applyAlignment="1">
      <alignment vertical="center"/>
    </xf>
    <xf numFmtId="0" fontId="33" fillId="0" borderId="56" xfId="0" applyFont="1" applyBorder="1" applyAlignment="1">
      <alignment vertical="center"/>
    </xf>
    <xf numFmtId="0" fontId="33" fillId="0" borderId="57" xfId="0" applyFont="1" applyBorder="1" applyAlignment="1">
      <alignment vertical="center"/>
    </xf>
    <xf numFmtId="10" fontId="33" fillId="0" borderId="58" xfId="0" applyNumberFormat="1" applyFont="1" applyBorder="1" applyAlignment="1">
      <alignment vertical="center"/>
    </xf>
    <xf numFmtId="0" fontId="33" fillId="0" borderId="58" xfId="0" applyFont="1" applyBorder="1" applyAlignment="1">
      <alignment vertical="center"/>
    </xf>
    <xf numFmtId="0" fontId="33" fillId="0" borderId="58" xfId="0" applyFont="1" applyBorder="1" applyAlignment="1">
      <alignment horizontal="center" vertical="center"/>
    </xf>
    <xf numFmtId="168" fontId="33" fillId="0" borderId="20" xfId="0" applyNumberFormat="1" applyFont="1" applyBorder="1" applyAlignment="1">
      <alignment horizontal="right" vertical="center"/>
    </xf>
    <xf numFmtId="168" fontId="33" fillId="0" borderId="57" xfId="0" applyNumberFormat="1" applyFont="1" applyBorder="1" applyAlignment="1">
      <alignment vertical="center"/>
    </xf>
    <xf numFmtId="167" fontId="33" fillId="0" borderId="44" xfId="1" applyFont="1" applyBorder="1" applyAlignment="1" applyProtection="1">
      <alignment horizontal="right" vertical="center"/>
    </xf>
    <xf numFmtId="0" fontId="33" fillId="0" borderId="18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167" fontId="33" fillId="0" borderId="4" xfId="1" applyFont="1" applyBorder="1" applyAlignment="1" applyProtection="1">
      <alignment horizontal="center" vertical="center"/>
    </xf>
    <xf numFmtId="167" fontId="33" fillId="0" borderId="2" xfId="0" applyNumberFormat="1" applyFont="1" applyBorder="1" applyAlignment="1">
      <alignment horizontal="center" vertical="center"/>
    </xf>
    <xf numFmtId="168" fontId="33" fillId="0" borderId="42" xfId="0" applyNumberFormat="1" applyFont="1" applyBorder="1" applyAlignment="1">
      <alignment vertical="center"/>
    </xf>
    <xf numFmtId="167" fontId="33" fillId="0" borderId="42" xfId="1" applyFont="1" applyBorder="1" applyAlignment="1" applyProtection="1">
      <alignment horizontal="right" vertical="center"/>
    </xf>
    <xf numFmtId="0" fontId="31" fillId="0" borderId="12" xfId="0" applyFont="1" applyBorder="1" applyAlignment="1">
      <alignment horizontal="center" vertical="center"/>
    </xf>
    <xf numFmtId="0" fontId="33" fillId="0" borderId="21" xfId="0" applyFont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168" fontId="33" fillId="0" borderId="7" xfId="0" applyNumberFormat="1" applyFont="1" applyBorder="1" applyAlignment="1">
      <alignment horizontal="right" vertical="center"/>
    </xf>
    <xf numFmtId="168" fontId="33" fillId="0" borderId="33" xfId="0" applyNumberFormat="1" applyFont="1" applyBorder="1" applyAlignment="1">
      <alignment horizontal="center" vertical="center"/>
    </xf>
    <xf numFmtId="177" fontId="33" fillId="0" borderId="4" xfId="0" applyNumberFormat="1" applyFont="1" applyBorder="1" applyAlignment="1">
      <alignment horizontal="center" vertical="center"/>
    </xf>
    <xf numFmtId="168" fontId="33" fillId="0" borderId="45" xfId="0" applyNumberFormat="1" applyFont="1" applyBorder="1" applyAlignment="1">
      <alignment vertical="center"/>
    </xf>
    <xf numFmtId="2" fontId="33" fillId="0" borderId="4" xfId="0" applyNumberFormat="1" applyFont="1" applyBorder="1" applyAlignment="1">
      <alignment horizontal="center" vertical="center"/>
    </xf>
    <xf numFmtId="0" fontId="33" fillId="0" borderId="60" xfId="0" applyFont="1" applyBorder="1" applyAlignment="1">
      <alignment vertical="center"/>
    </xf>
    <xf numFmtId="10" fontId="33" fillId="0" borderId="28" xfId="0" applyNumberFormat="1" applyFont="1" applyBorder="1" applyAlignment="1">
      <alignment vertical="center"/>
    </xf>
    <xf numFmtId="168" fontId="33" fillId="0" borderId="10" xfId="0" applyNumberFormat="1" applyFont="1" applyBorder="1" applyAlignment="1">
      <alignment horizontal="right" vertical="center"/>
    </xf>
    <xf numFmtId="0" fontId="33" fillId="0" borderId="35" xfId="0" applyFont="1" applyBorder="1" applyAlignment="1">
      <alignment horizontal="right" vertical="center"/>
    </xf>
    <xf numFmtId="0" fontId="31" fillId="0" borderId="27" xfId="0" applyFont="1" applyBorder="1" applyAlignment="1">
      <alignment horizontal="left" vertical="center"/>
    </xf>
    <xf numFmtId="0" fontId="31" fillId="0" borderId="2" xfId="0" applyFont="1" applyBorder="1" applyAlignment="1">
      <alignment vertical="center"/>
    </xf>
    <xf numFmtId="0" fontId="31" fillId="0" borderId="40" xfId="0" applyFont="1" applyBorder="1" applyAlignment="1">
      <alignment horizontal="center" vertical="center"/>
    </xf>
    <xf numFmtId="0" fontId="31" fillId="0" borderId="39" xfId="0" applyFont="1" applyBorder="1" applyAlignment="1">
      <alignment vertical="center"/>
    </xf>
    <xf numFmtId="168" fontId="31" fillId="0" borderId="19" xfId="0" applyNumberFormat="1" applyFont="1" applyBorder="1" applyAlignment="1">
      <alignment horizontal="right" vertical="center"/>
    </xf>
    <xf numFmtId="175" fontId="31" fillId="0" borderId="26" xfId="2" applyFont="1" applyBorder="1" applyAlignment="1" applyProtection="1">
      <alignment vertical="center"/>
    </xf>
    <xf numFmtId="0" fontId="33" fillId="0" borderId="61" xfId="0" applyFont="1" applyBorder="1" applyAlignment="1">
      <alignment vertical="center"/>
    </xf>
    <xf numFmtId="0" fontId="33" fillId="0" borderId="62" xfId="0" applyFont="1" applyBorder="1" applyAlignment="1">
      <alignment vertical="center"/>
    </xf>
    <xf numFmtId="0" fontId="33" fillId="0" borderId="63" xfId="0" applyFont="1" applyBorder="1" applyAlignment="1">
      <alignment vertical="center"/>
    </xf>
    <xf numFmtId="0" fontId="33" fillId="0" borderId="62" xfId="0" applyFont="1" applyBorder="1" applyAlignment="1">
      <alignment horizontal="center" vertical="center"/>
    </xf>
    <xf numFmtId="10" fontId="33" fillId="0" borderId="62" xfId="0" applyNumberFormat="1" applyFont="1" applyBorder="1" applyAlignment="1">
      <alignment horizontal="center" vertical="center"/>
    </xf>
    <xf numFmtId="168" fontId="33" fillId="0" borderId="11" xfId="0" applyNumberFormat="1" applyFont="1" applyBorder="1" applyAlignment="1">
      <alignment horizontal="right" vertical="center"/>
    </xf>
    <xf numFmtId="0" fontId="31" fillId="0" borderId="49" xfId="0" applyFont="1" applyBorder="1" applyAlignment="1">
      <alignment vertical="center"/>
    </xf>
    <xf numFmtId="0" fontId="31" fillId="0" borderId="49" xfId="0" applyFont="1" applyBorder="1" applyAlignment="1">
      <alignment horizontal="center" vertical="center"/>
    </xf>
    <xf numFmtId="168" fontId="31" fillId="0" borderId="14" xfId="0" applyNumberFormat="1" applyFont="1" applyBorder="1" applyAlignment="1">
      <alignment horizontal="right" vertical="center"/>
    </xf>
    <xf numFmtId="0" fontId="31" fillId="0" borderId="39" xfId="0" applyFont="1" applyBorder="1" applyAlignment="1">
      <alignment horizontal="center" vertical="center"/>
    </xf>
    <xf numFmtId="0" fontId="33" fillId="0" borderId="65" xfId="0" applyFont="1" applyBorder="1" applyAlignment="1">
      <alignment vertical="center"/>
    </xf>
    <xf numFmtId="0" fontId="33" fillId="0" borderId="66" xfId="0" applyFont="1" applyBorder="1" applyAlignment="1">
      <alignment vertical="center"/>
    </xf>
    <xf numFmtId="10" fontId="33" fillId="0" borderId="0" xfId="0" applyNumberFormat="1" applyFont="1" applyBorder="1" applyAlignment="1">
      <alignment vertical="center"/>
    </xf>
    <xf numFmtId="0" fontId="33" fillId="0" borderId="67" xfId="0" applyFont="1" applyBorder="1" applyAlignment="1">
      <alignment vertical="center"/>
    </xf>
    <xf numFmtId="0" fontId="33" fillId="0" borderId="67" xfId="0" applyFont="1" applyBorder="1" applyAlignment="1">
      <alignment horizontal="center" vertical="center"/>
    </xf>
    <xf numFmtId="0" fontId="33" fillId="0" borderId="68" xfId="0" applyFont="1" applyBorder="1" applyAlignment="1">
      <alignment vertical="center"/>
    </xf>
    <xf numFmtId="168" fontId="33" fillId="0" borderId="52" xfId="0" applyNumberFormat="1" applyFont="1" applyBorder="1" applyAlignment="1">
      <alignment horizontal="center" vertical="center"/>
    </xf>
    <xf numFmtId="0" fontId="33" fillId="0" borderId="57" xfId="0" applyFont="1" applyBorder="1" applyAlignment="1">
      <alignment horizontal="center" vertical="center"/>
    </xf>
    <xf numFmtId="168" fontId="33" fillId="0" borderId="69" xfId="0" applyNumberFormat="1" applyFont="1" applyBorder="1" applyAlignment="1">
      <alignment horizontal="right" vertical="center"/>
    </xf>
    <xf numFmtId="0" fontId="33" fillId="0" borderId="70" xfId="0" applyFont="1" applyBorder="1" applyAlignment="1">
      <alignment vertical="center"/>
    </xf>
    <xf numFmtId="168" fontId="33" fillId="0" borderId="51" xfId="0" applyNumberFormat="1" applyFont="1" applyBorder="1" applyAlignment="1">
      <alignment vertical="center"/>
    </xf>
    <xf numFmtId="168" fontId="33" fillId="0" borderId="49" xfId="0" applyNumberFormat="1" applyFont="1" applyBorder="1" applyAlignment="1">
      <alignment vertical="center"/>
    </xf>
    <xf numFmtId="168" fontId="33" fillId="0" borderId="55" xfId="0" applyNumberFormat="1" applyFont="1" applyBorder="1" applyAlignment="1">
      <alignment horizontal="right" vertical="center"/>
    </xf>
    <xf numFmtId="168" fontId="33" fillId="0" borderId="62" xfId="0" applyNumberFormat="1" applyFont="1" applyBorder="1" applyAlignment="1">
      <alignment horizontal="center" vertical="center"/>
    </xf>
    <xf numFmtId="0" fontId="31" fillId="0" borderId="70" xfId="0" applyFont="1" applyBorder="1" applyAlignment="1">
      <alignment vertical="center"/>
    </xf>
    <xf numFmtId="168" fontId="33" fillId="0" borderId="55" xfId="0" applyNumberFormat="1" applyFont="1" applyBorder="1" applyAlignment="1">
      <alignment horizontal="center" vertical="center"/>
    </xf>
    <xf numFmtId="0" fontId="31" fillId="0" borderId="33" xfId="0" applyFont="1" applyBorder="1" applyAlignment="1">
      <alignment vertical="center"/>
    </xf>
    <xf numFmtId="0" fontId="31" fillId="0" borderId="45" xfId="0" applyFont="1" applyBorder="1" applyAlignment="1">
      <alignment vertical="center"/>
    </xf>
    <xf numFmtId="0" fontId="33" fillId="0" borderId="40" xfId="0" applyFont="1" applyBorder="1" applyAlignment="1">
      <alignment horizontal="center" vertical="center"/>
    </xf>
    <xf numFmtId="0" fontId="31" fillId="0" borderId="68" xfId="0" applyFont="1" applyBorder="1" applyAlignment="1">
      <alignment vertical="center"/>
    </xf>
    <xf numFmtId="0" fontId="33" fillId="0" borderId="71" xfId="0" applyFont="1" applyBorder="1" applyAlignment="1">
      <alignment vertical="center"/>
    </xf>
    <xf numFmtId="0" fontId="33" fillId="0" borderId="22" xfId="0" applyFont="1" applyBorder="1" applyAlignment="1">
      <alignment vertical="center"/>
    </xf>
    <xf numFmtId="0" fontId="33" fillId="0" borderId="15" xfId="0" applyFont="1" applyBorder="1" applyAlignment="1">
      <alignment horizontal="left" vertical="center"/>
    </xf>
    <xf numFmtId="0" fontId="33" fillId="0" borderId="49" xfId="0" applyFont="1" applyBorder="1" applyAlignment="1">
      <alignment horizontal="center" vertical="center"/>
    </xf>
    <xf numFmtId="167" fontId="33" fillId="0" borderId="50" xfId="1" applyFont="1" applyBorder="1" applyAlignment="1" applyProtection="1">
      <alignment horizontal="center" vertical="center"/>
    </xf>
    <xf numFmtId="0" fontId="33" fillId="0" borderId="51" xfId="0" applyFont="1" applyBorder="1" applyAlignment="1">
      <alignment vertical="center"/>
    </xf>
    <xf numFmtId="0" fontId="33" fillId="0" borderId="55" xfId="0" applyFont="1" applyBorder="1" applyAlignment="1">
      <alignment horizontal="right" vertical="center"/>
    </xf>
    <xf numFmtId="0" fontId="33" fillId="0" borderId="41" xfId="0" applyFont="1" applyBorder="1" applyAlignment="1">
      <alignment horizontal="right" vertical="center"/>
    </xf>
    <xf numFmtId="0" fontId="31" fillId="0" borderId="31" xfId="0" applyFont="1" applyBorder="1" applyAlignment="1">
      <alignment horizontal="center" vertical="center"/>
    </xf>
    <xf numFmtId="168" fontId="33" fillId="0" borderId="40" xfId="0" applyNumberFormat="1" applyFont="1" applyBorder="1" applyAlignment="1">
      <alignment horizontal="center" vertical="center"/>
    </xf>
    <xf numFmtId="167" fontId="33" fillId="0" borderId="35" xfId="0" applyNumberFormat="1" applyFont="1" applyBorder="1" applyAlignment="1">
      <alignment horizontal="center" vertical="center"/>
    </xf>
    <xf numFmtId="0" fontId="33" fillId="0" borderId="41" xfId="0" applyFont="1" applyBorder="1" applyAlignment="1">
      <alignment vertical="center"/>
    </xf>
    <xf numFmtId="177" fontId="33" fillId="0" borderId="35" xfId="0" applyNumberFormat="1" applyFont="1" applyBorder="1" applyAlignment="1">
      <alignment horizontal="right" vertical="center"/>
    </xf>
    <xf numFmtId="178" fontId="31" fillId="0" borderId="8" xfId="0" applyNumberFormat="1" applyFont="1" applyBorder="1" applyAlignment="1">
      <alignment horizontal="right" vertical="center"/>
    </xf>
    <xf numFmtId="2" fontId="31" fillId="0" borderId="31" xfId="0" applyNumberFormat="1" applyFont="1" applyBorder="1" applyAlignment="1">
      <alignment vertical="center"/>
    </xf>
    <xf numFmtId="168" fontId="31" fillId="0" borderId="8" xfId="0" applyNumberFormat="1" applyFont="1" applyBorder="1" applyAlignment="1">
      <alignment vertical="center"/>
    </xf>
    <xf numFmtId="168" fontId="33" fillId="0" borderId="39" xfId="0" applyNumberFormat="1" applyFont="1" applyBorder="1" applyAlignment="1">
      <alignment horizontal="center" vertical="center"/>
    </xf>
    <xf numFmtId="168" fontId="33" fillId="0" borderId="41" xfId="0" applyNumberFormat="1" applyFont="1" applyBorder="1" applyAlignment="1">
      <alignment vertical="center"/>
    </xf>
    <xf numFmtId="168" fontId="33" fillId="0" borderId="35" xfId="0" applyNumberFormat="1" applyFont="1" applyBorder="1" applyAlignment="1">
      <alignment vertical="center"/>
    </xf>
    <xf numFmtId="175" fontId="31" fillId="0" borderId="31" xfId="2" applyFont="1" applyBorder="1" applyAlignment="1" applyProtection="1">
      <alignment horizontal="center" vertical="center"/>
    </xf>
    <xf numFmtId="175" fontId="31" fillId="0" borderId="26" xfId="2" applyFont="1" applyBorder="1" applyAlignment="1" applyProtection="1">
      <alignment horizontal="center" vertical="center"/>
    </xf>
    <xf numFmtId="168" fontId="33" fillId="0" borderId="17" xfId="0" applyNumberFormat="1" applyFont="1" applyBorder="1" applyAlignment="1">
      <alignment vertical="center"/>
    </xf>
    <xf numFmtId="0" fontId="33" fillId="0" borderId="37" xfId="0" applyFont="1" applyBorder="1" applyAlignment="1">
      <alignment vertical="center"/>
    </xf>
    <xf numFmtId="0" fontId="33" fillId="0" borderId="48" xfId="0" applyFont="1" applyBorder="1" applyAlignment="1">
      <alignment vertical="center"/>
    </xf>
    <xf numFmtId="0" fontId="33" fillId="0" borderId="31" xfId="0" applyFont="1" applyBorder="1" applyAlignment="1">
      <alignment vertical="center"/>
    </xf>
    <xf numFmtId="0" fontId="31" fillId="0" borderId="28" xfId="0" applyFont="1" applyBorder="1" applyAlignment="1">
      <alignment vertical="center"/>
    </xf>
    <xf numFmtId="0" fontId="33" fillId="0" borderId="42" xfId="0" applyFont="1" applyBorder="1" applyAlignment="1">
      <alignment vertical="center"/>
    </xf>
    <xf numFmtId="168" fontId="33" fillId="0" borderId="19" xfId="0" applyNumberFormat="1" applyFont="1" applyBorder="1" applyAlignment="1">
      <alignment vertical="center"/>
    </xf>
    <xf numFmtId="168" fontId="33" fillId="0" borderId="10" xfId="0" applyNumberFormat="1" applyFont="1" applyBorder="1" applyAlignment="1">
      <alignment vertical="center"/>
    </xf>
    <xf numFmtId="2" fontId="31" fillId="0" borderId="63" xfId="0" applyNumberFormat="1" applyFont="1" applyBorder="1" applyAlignment="1">
      <alignment vertical="center"/>
    </xf>
    <xf numFmtId="0" fontId="33" fillId="0" borderId="22" xfId="0" applyFont="1" applyBorder="1" applyAlignment="1">
      <alignment horizontal="center" vertical="center"/>
    </xf>
    <xf numFmtId="168" fontId="33" fillId="0" borderId="73" xfId="0" applyNumberFormat="1" applyFont="1" applyBorder="1" applyAlignment="1">
      <alignment horizontal="right" vertical="center"/>
    </xf>
    <xf numFmtId="10" fontId="33" fillId="0" borderId="52" xfId="0" applyNumberFormat="1" applyFont="1" applyBorder="1" applyAlignment="1">
      <alignment horizontal="center" vertical="center"/>
    </xf>
    <xf numFmtId="0" fontId="31" fillId="0" borderId="62" xfId="0" applyFont="1" applyBorder="1" applyAlignment="1">
      <alignment horizontal="center" vertical="center"/>
    </xf>
    <xf numFmtId="168" fontId="31" fillId="0" borderId="47" xfId="0" applyNumberFormat="1" applyFont="1" applyBorder="1" applyAlignment="1">
      <alignment horizontal="right" vertical="center"/>
    </xf>
    <xf numFmtId="167" fontId="33" fillId="0" borderId="41" xfId="1" applyFont="1" applyBorder="1" applyAlignment="1" applyProtection="1">
      <alignment horizontal="right" vertical="center"/>
    </xf>
    <xf numFmtId="177" fontId="33" fillId="0" borderId="2" xfId="0" applyNumberFormat="1" applyFont="1" applyBorder="1" applyAlignment="1">
      <alignment horizontal="center" vertical="center"/>
    </xf>
    <xf numFmtId="168" fontId="33" fillId="0" borderId="58" xfId="0" applyNumberFormat="1" applyFont="1" applyBorder="1" applyAlignment="1">
      <alignment horizontal="center" vertical="center"/>
    </xf>
    <xf numFmtId="168" fontId="33" fillId="0" borderId="58" xfId="0" applyNumberFormat="1" applyFont="1" applyBorder="1" applyAlignment="1">
      <alignment vertical="center"/>
    </xf>
    <xf numFmtId="167" fontId="33" fillId="0" borderId="69" xfId="1" applyFont="1" applyBorder="1" applyAlignment="1" applyProtection="1">
      <alignment horizontal="right" vertical="center"/>
    </xf>
    <xf numFmtId="168" fontId="31" fillId="0" borderId="26" xfId="0" applyNumberFormat="1" applyFont="1" applyBorder="1" applyAlignment="1">
      <alignment horizontal="right" vertical="center"/>
    </xf>
    <xf numFmtId="0" fontId="33" fillId="0" borderId="59" xfId="0" applyFont="1" applyBorder="1" applyAlignment="1">
      <alignment vertical="center"/>
    </xf>
    <xf numFmtId="0" fontId="33" fillId="0" borderId="50" xfId="0" applyFont="1" applyBorder="1" applyAlignment="1">
      <alignment vertical="center"/>
    </xf>
    <xf numFmtId="168" fontId="33" fillId="0" borderId="26" xfId="0" applyNumberFormat="1" applyFont="1" applyBorder="1" applyAlignment="1">
      <alignment horizontal="right" vertical="center"/>
    </xf>
    <xf numFmtId="168" fontId="31" fillId="0" borderId="27" xfId="0" applyNumberFormat="1" applyFont="1" applyBorder="1" applyAlignment="1">
      <alignment vertical="center"/>
    </xf>
    <xf numFmtId="167" fontId="31" fillId="0" borderId="8" xfId="1" applyFont="1" applyBorder="1" applyAlignment="1" applyProtection="1">
      <alignment vertical="center"/>
    </xf>
    <xf numFmtId="168" fontId="33" fillId="0" borderId="20" xfId="0" applyNumberFormat="1" applyFont="1" applyBorder="1" applyAlignment="1">
      <alignment vertical="center"/>
    </xf>
    <xf numFmtId="0" fontId="33" fillId="0" borderId="52" xfId="0" applyFont="1" applyBorder="1" applyAlignment="1">
      <alignment vertical="center"/>
    </xf>
    <xf numFmtId="10" fontId="31" fillId="0" borderId="0" xfId="3" applyNumberFormat="1" applyFont="1" applyBorder="1" applyAlignment="1" applyProtection="1">
      <alignment horizontal="left" vertical="center"/>
    </xf>
    <xf numFmtId="0" fontId="33" fillId="0" borderId="0" xfId="0" applyFont="1"/>
    <xf numFmtId="167" fontId="33" fillId="0" borderId="0" xfId="1" applyFont="1" applyBorder="1" applyAlignment="1" applyProtection="1"/>
    <xf numFmtId="168" fontId="30" fillId="0" borderId="8" xfId="0" applyNumberFormat="1" applyFont="1" applyBorder="1" applyAlignment="1">
      <alignment horizontal="center" vertical="center" wrapText="1"/>
    </xf>
    <xf numFmtId="168" fontId="31" fillId="0" borderId="8" xfId="0" applyNumberFormat="1" applyFont="1" applyBorder="1" applyAlignment="1">
      <alignment horizontal="center" vertical="center"/>
    </xf>
    <xf numFmtId="168" fontId="32" fillId="0" borderId="8" xfId="0" applyNumberFormat="1" applyFont="1" applyBorder="1" applyAlignment="1">
      <alignment horizontal="center" vertical="center"/>
    </xf>
    <xf numFmtId="168" fontId="31" fillId="0" borderId="8" xfId="0" applyNumberFormat="1" applyFont="1" applyBorder="1" applyAlignment="1">
      <alignment horizontal="center" vertical="center" wrapText="1"/>
    </xf>
    <xf numFmtId="168" fontId="36" fillId="0" borderId="11" xfId="0" applyNumberFormat="1" applyFont="1" applyBorder="1" applyAlignment="1">
      <alignment horizontal="center" vertical="center"/>
    </xf>
    <xf numFmtId="172" fontId="32" fillId="0" borderId="29" xfId="16" applyNumberFormat="1" applyFont="1" applyBorder="1" applyAlignment="1">
      <alignment vertical="center"/>
    </xf>
    <xf numFmtId="168" fontId="36" fillId="0" borderId="27" xfId="0" applyNumberFormat="1" applyFont="1" applyBorder="1" applyAlignment="1">
      <alignment horizontal="center" vertical="center"/>
    </xf>
    <xf numFmtId="172" fontId="32" fillId="0" borderId="30" xfId="16" applyNumberFormat="1" applyFont="1" applyBorder="1" applyAlignment="1">
      <alignment vertical="center"/>
    </xf>
    <xf numFmtId="168" fontId="3" fillId="0" borderId="8" xfId="0" applyNumberFormat="1" applyFont="1" applyBorder="1" applyAlignment="1">
      <alignment horizontal="center" vertical="center"/>
    </xf>
    <xf numFmtId="173" fontId="32" fillId="0" borderId="8" xfId="1" applyNumberFormat="1" applyFont="1" applyBorder="1" applyAlignment="1" applyProtection="1">
      <alignment horizontal="center" vertical="center"/>
    </xf>
    <xf numFmtId="174" fontId="32" fillId="0" borderId="8" xfId="1" applyNumberFormat="1" applyFont="1" applyBorder="1" applyAlignment="1" applyProtection="1">
      <alignment horizontal="center" vertical="center"/>
    </xf>
    <xf numFmtId="168" fontId="31" fillId="0" borderId="0" xfId="0" applyNumberFormat="1" applyFont="1" applyBorder="1" applyAlignment="1">
      <alignment horizontal="center" vertical="center"/>
    </xf>
    <xf numFmtId="0" fontId="39" fillId="0" borderId="28" xfId="0" applyFont="1" applyBorder="1" applyAlignment="1">
      <alignment horizontal="center" vertical="center"/>
    </xf>
    <xf numFmtId="0" fontId="31" fillId="0" borderId="32" xfId="0" applyFont="1" applyBorder="1" applyAlignment="1">
      <alignment horizontal="left" vertical="center"/>
    </xf>
    <xf numFmtId="0" fontId="33" fillId="0" borderId="34" xfId="0" applyFont="1" applyBorder="1" applyAlignment="1">
      <alignment horizontal="center" vertical="center"/>
    </xf>
    <xf numFmtId="0" fontId="33" fillId="0" borderId="36" xfId="0" applyFont="1" applyBorder="1" applyAlignment="1">
      <alignment horizontal="center" vertical="center"/>
    </xf>
    <xf numFmtId="0" fontId="31" fillId="0" borderId="8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30" xfId="0" applyFont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8" xfId="0" applyFont="1" applyBorder="1" applyAlignment="1">
      <alignment horizontal="center" vertical="center"/>
    </xf>
    <xf numFmtId="0" fontId="33" fillId="0" borderId="53" xfId="0" applyFont="1" applyBorder="1" applyAlignment="1">
      <alignment horizontal="center" vertical="center"/>
    </xf>
    <xf numFmtId="0" fontId="33" fillId="0" borderId="38" xfId="0" applyFont="1" applyBorder="1" applyAlignment="1">
      <alignment horizontal="center" vertical="center"/>
    </xf>
    <xf numFmtId="175" fontId="31" fillId="0" borderId="32" xfId="2" applyFont="1" applyBorder="1" applyAlignment="1" applyProtection="1">
      <alignment horizontal="left" vertical="center"/>
    </xf>
    <xf numFmtId="0" fontId="33" fillId="0" borderId="59" xfId="0" applyFont="1" applyBorder="1" applyAlignment="1">
      <alignment horizontal="center" vertical="center"/>
    </xf>
    <xf numFmtId="0" fontId="33" fillId="0" borderId="50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wrapText="1"/>
    </xf>
    <xf numFmtId="0" fontId="33" fillId="0" borderId="30" xfId="0" applyFont="1" applyBorder="1" applyAlignment="1">
      <alignment horizontal="left" vertical="center"/>
    </xf>
    <xf numFmtId="0" fontId="33" fillId="0" borderId="29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0" fontId="33" fillId="0" borderId="64" xfId="0" applyFont="1" applyBorder="1" applyAlignment="1">
      <alignment horizontal="center" vertical="center"/>
    </xf>
    <xf numFmtId="0" fontId="33" fillId="0" borderId="38" xfId="0" applyFont="1" applyBorder="1" applyAlignment="1">
      <alignment horizontal="justify" vertical="center"/>
    </xf>
    <xf numFmtId="0" fontId="33" fillId="0" borderId="18" xfId="0" applyFont="1" applyBorder="1" applyAlignment="1">
      <alignment horizontal="justify" vertical="center"/>
    </xf>
    <xf numFmtId="0" fontId="33" fillId="0" borderId="30" xfId="0" applyFont="1" applyBorder="1" applyAlignment="1">
      <alignment horizontal="justify" vertical="center"/>
    </xf>
    <xf numFmtId="0" fontId="33" fillId="0" borderId="2" xfId="0" applyFont="1" applyBorder="1" applyAlignment="1">
      <alignment horizontal="center" vertical="center"/>
    </xf>
    <xf numFmtId="175" fontId="31" fillId="0" borderId="32" xfId="2" applyFont="1" applyBorder="1" applyAlignment="1" applyProtection="1">
      <alignment horizontal="justify" vertical="center"/>
    </xf>
    <xf numFmtId="0" fontId="33" fillId="0" borderId="56" xfId="0" applyFont="1" applyBorder="1" applyAlignment="1">
      <alignment horizontal="center" vertical="center"/>
    </xf>
    <xf numFmtId="0" fontId="33" fillId="0" borderId="72" xfId="0" applyFont="1" applyBorder="1" applyAlignment="1">
      <alignment horizontal="center" vertical="center"/>
    </xf>
    <xf numFmtId="0" fontId="31" fillId="0" borderId="32" xfId="0" applyFont="1" applyBorder="1" applyAlignment="1">
      <alignment horizontal="justify" vertical="center"/>
    </xf>
    <xf numFmtId="0" fontId="33" fillId="0" borderId="30" xfId="0" applyFont="1" applyBorder="1" applyAlignment="1">
      <alignment horizontal="center" wrapText="1"/>
    </xf>
    <xf numFmtId="0" fontId="33" fillId="0" borderId="59" xfId="0" applyFont="1" applyBorder="1" applyAlignment="1">
      <alignment horizontal="left" wrapText="1"/>
    </xf>
    <xf numFmtId="0" fontId="31" fillId="0" borderId="32" xfId="0" applyFont="1" applyBorder="1" applyAlignment="1">
      <alignment wrapText="1"/>
    </xf>
    <xf numFmtId="0" fontId="33" fillId="0" borderId="30" xfId="0" applyFont="1" applyBorder="1" applyAlignment="1">
      <alignment wrapText="1"/>
    </xf>
    <xf numFmtId="175" fontId="31" fillId="0" borderId="26" xfId="2" applyFont="1" applyBorder="1" applyAlignment="1" applyProtection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</cellXfs>
  <cellStyles count="27">
    <cellStyle name="Data" xfId="4" xr:uid="{00000000-0005-0000-0000-000006000000}"/>
    <cellStyle name="Euro" xfId="5" xr:uid="{00000000-0005-0000-0000-000007000000}"/>
    <cellStyle name="Fixo" xfId="6" xr:uid="{00000000-0005-0000-0000-000008000000}"/>
    <cellStyle name="Moeda" xfId="2" builtinId="4"/>
    <cellStyle name="Moeda 2" xfId="7" xr:uid="{00000000-0005-0000-0000-000009000000}"/>
    <cellStyle name="Normal" xfId="0" builtinId="0"/>
    <cellStyle name="Normal 2" xfId="8" xr:uid="{00000000-0005-0000-0000-00000A000000}"/>
    <cellStyle name="Normal 2 2" xfId="9" xr:uid="{00000000-0005-0000-0000-00000B000000}"/>
    <cellStyle name="Normal 3" xfId="10" xr:uid="{00000000-0005-0000-0000-00000C000000}"/>
    <cellStyle name="Normal 3 2" xfId="11" xr:uid="{00000000-0005-0000-0000-00000D000000}"/>
    <cellStyle name="Normal 3 3" xfId="12" xr:uid="{00000000-0005-0000-0000-00000E000000}"/>
    <cellStyle name="Normal 3 3 2" xfId="13" xr:uid="{00000000-0005-0000-0000-00000F000000}"/>
    <cellStyle name="Normal 4" xfId="14" xr:uid="{00000000-0005-0000-0000-000010000000}"/>
    <cellStyle name="Normal_Plan1" xfId="15" xr:uid="{00000000-0005-0000-0000-000011000000}"/>
    <cellStyle name="Normal_Sheet1" xfId="16" xr:uid="{00000000-0005-0000-0000-000012000000}"/>
    <cellStyle name="Percentual" xfId="17" xr:uid="{00000000-0005-0000-0000-000013000000}"/>
    <cellStyle name="Ponto" xfId="18" xr:uid="{00000000-0005-0000-0000-000014000000}"/>
    <cellStyle name="Porcentagem" xfId="3" builtinId="5"/>
    <cellStyle name="Porcentagem 2" xfId="19" xr:uid="{00000000-0005-0000-0000-000015000000}"/>
    <cellStyle name="Porcentagem 2 2" xfId="20" xr:uid="{00000000-0005-0000-0000-000016000000}"/>
    <cellStyle name="Separador de m" xfId="21" xr:uid="{00000000-0005-0000-0000-000017000000}"/>
    <cellStyle name="Separador de milhares 2" xfId="22" xr:uid="{00000000-0005-0000-0000-000018000000}"/>
    <cellStyle name="Separador de milhares 3" xfId="23" xr:uid="{00000000-0005-0000-0000-000019000000}"/>
    <cellStyle name="Separador de milhares 3 2" xfId="24" xr:uid="{00000000-0005-0000-0000-00001A000000}"/>
    <cellStyle name="Titulo1" xfId="25" xr:uid="{00000000-0005-0000-0000-00001B000000}"/>
    <cellStyle name="Titulo2" xfId="26" xr:uid="{00000000-0005-0000-0000-00001C000000}"/>
    <cellStyle name="Vírgula" xfId="1" builtinId="3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9CDE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24840</xdr:rowOff>
    </xdr:from>
    <xdr:to>
      <xdr:col>2</xdr:col>
      <xdr:colOff>553680</xdr:colOff>
      <xdr:row>32</xdr:row>
      <xdr:rowOff>15840</xdr:rowOff>
    </xdr:to>
    <xdr:sp macro="" textlink="">
      <xdr:nvSpPr>
        <xdr:cNvPr id="2" name="CaixaDeTexto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4415760"/>
          <a:ext cx="6076800" cy="1991160"/>
        </a:xfrm>
        <a:prstGeom prst="rect">
          <a:avLst/>
        </a:prstGeom>
        <a:solidFill>
          <a:srgbClr val="FFFFFF"/>
        </a:solidFill>
        <a:ln w="9525">
          <a:solidFill>
            <a:srgbClr val="BCBCBC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 editAs="oneCell">
    <xdr:from>
      <xdr:col>0</xdr:col>
      <xdr:colOff>276840</xdr:colOff>
      <xdr:row>22</xdr:row>
      <xdr:rowOff>161640</xdr:rowOff>
    </xdr:from>
    <xdr:to>
      <xdr:col>2</xdr:col>
      <xdr:colOff>466560</xdr:colOff>
      <xdr:row>32</xdr:row>
      <xdr:rowOff>25920</xdr:rowOff>
    </xdr:to>
    <xdr:pic>
      <xdr:nvPicPr>
        <xdr:cNvPr id="3" name="Imagem 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276840" y="4552560"/>
          <a:ext cx="5712840" cy="186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398880</xdr:colOff>
      <xdr:row>21</xdr:row>
      <xdr:rowOff>191160</xdr:rowOff>
    </xdr:from>
    <xdr:to>
      <xdr:col>2</xdr:col>
      <xdr:colOff>295920</xdr:colOff>
      <xdr:row>31</xdr:row>
      <xdr:rowOff>56160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98880" y="4381920"/>
          <a:ext cx="5420160" cy="1865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426600</xdr:colOff>
      <xdr:row>22</xdr:row>
      <xdr:rowOff>180720</xdr:rowOff>
    </xdr:from>
    <xdr:to>
      <xdr:col>1</xdr:col>
      <xdr:colOff>4905000</xdr:colOff>
      <xdr:row>32</xdr:row>
      <xdr:rowOff>45000</xdr:rowOff>
    </xdr:to>
    <xdr:pic>
      <xdr:nvPicPr>
        <xdr:cNvPr id="3" name="Imagem 5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26600" y="4571640"/>
          <a:ext cx="5154480" cy="18644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398880</xdr:colOff>
      <xdr:row>21</xdr:row>
      <xdr:rowOff>191160</xdr:rowOff>
    </xdr:from>
    <xdr:to>
      <xdr:col>1</xdr:col>
      <xdr:colOff>4877280</xdr:colOff>
      <xdr:row>31</xdr:row>
      <xdr:rowOff>56160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8880" y="4381920"/>
          <a:ext cx="5154480" cy="1865160"/>
        </a:xfrm>
        <a:prstGeom prst="rect">
          <a:avLst/>
        </a:prstGeom>
        <a:noFill/>
        <a:ln w="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152280</xdr:colOff>
      <xdr:row>1</xdr:row>
      <xdr:rowOff>237960</xdr:rowOff>
    </xdr:from>
    <xdr:to>
      <xdr:col>2</xdr:col>
      <xdr:colOff>361080</xdr:colOff>
      <xdr:row>5</xdr:row>
      <xdr:rowOff>199080</xdr:rowOff>
    </xdr:to>
    <xdr:pic>
      <xdr:nvPicPr>
        <xdr:cNvPr id="5" name="Imagem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777600" y="437760"/>
          <a:ext cx="834120" cy="1027800"/>
        </a:xfrm>
        <a:prstGeom prst="rect">
          <a:avLst/>
        </a:prstGeom>
        <a:ln w="0"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po_05\C\SIMONE\ESC.%20MEIA%20DOIS%20NOVE\CICLOVIA%20AV.%20JOS&#201;%20BONIF&#193;CIO\OR&#199;AMENTO%20DUQUE%20DE%20CAXIAS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po_05\C\SIMONE\ESC.%20MEIA%20DOIS%20NOVE\DEFENSORIA%20P&#218;BLICA%20CASTANHAL\OR&#199;AMENTO%20DP%20CASTANH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 Orçamento Geral"/>
      <sheetName val="Composição de Preços Unitários"/>
      <sheetName val="Folha Rosto Comp. P. Unit. "/>
    </sheetNames>
    <sheetDataSet>
      <sheetData sheetId="0"/>
      <sheetData sheetId="1"/>
      <sheetData sheetId="2"/>
      <sheetData sheetId="3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"/>
      <sheetName val=" Orçamento Geral"/>
      <sheetName val="Prédio"/>
      <sheetName val="Composição de Preços Unitários"/>
      <sheetName val="Folha Rosto Comp. P. Unit. "/>
    </sheetNames>
    <sheetDataSet>
      <sheetData sheetId="0"/>
      <sheetData sheetId="1"/>
      <sheetData sheetId="2"/>
      <sheetData sheetId="3"/>
      <sheetData sheetId="4">
        <row r="4">
          <cell r="B4">
            <v>1.26</v>
          </cell>
        </row>
        <row r="5">
          <cell r="B5">
            <v>0.3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36"/>
  <sheetViews>
    <sheetView showGridLines="0" showZeros="0" tabSelected="1" view="pageBreakPreview" topLeftCell="C37" zoomScale="130" zoomScaleNormal="130" zoomScaleSheetLayoutView="130" workbookViewId="0">
      <selection activeCell="G24" sqref="G24"/>
    </sheetView>
  </sheetViews>
  <sheetFormatPr defaultColWidth="9.140625" defaultRowHeight="12.75"/>
  <cols>
    <col min="1" max="1" width="8.5703125" style="15" customWidth="1"/>
    <col min="2" max="2" width="69.7109375" style="16" customWidth="1"/>
    <col min="3" max="3" width="7.85546875" style="16" customWidth="1"/>
    <col min="4" max="1024" width="9.140625" style="17"/>
  </cols>
  <sheetData>
    <row r="1" spans="1:3" ht="15">
      <c r="A1" s="14" t="s">
        <v>0</v>
      </c>
      <c r="B1" s="14"/>
      <c r="C1" s="14"/>
    </row>
    <row r="2" spans="1:3" s="19" customFormat="1" ht="15.75">
      <c r="A2" s="18" t="s">
        <v>1</v>
      </c>
      <c r="B2" s="18" t="s">
        <v>2</v>
      </c>
      <c r="C2" s="18" t="s">
        <v>3</v>
      </c>
    </row>
    <row r="3" spans="1:3" ht="15.75">
      <c r="A3" s="20">
        <v>1</v>
      </c>
      <c r="B3" s="21" t="s">
        <v>4</v>
      </c>
      <c r="C3" s="22">
        <v>8.5000000000000006E-3</v>
      </c>
    </row>
    <row r="4" spans="1:3" ht="15.75">
      <c r="A4" s="23"/>
      <c r="B4" s="21"/>
      <c r="C4" s="24"/>
    </row>
    <row r="5" spans="1:3" ht="15.75">
      <c r="A5" s="20">
        <v>2</v>
      </c>
      <c r="B5" s="21" t="s">
        <v>5</v>
      </c>
      <c r="C5" s="22">
        <v>3.4500000000000003E-2</v>
      </c>
    </row>
    <row r="6" spans="1:3" ht="15.75">
      <c r="A6" s="20"/>
      <c r="B6" s="21"/>
      <c r="C6" s="25"/>
    </row>
    <row r="7" spans="1:3" ht="15.75">
      <c r="A7" s="20">
        <v>3</v>
      </c>
      <c r="B7" s="21" t="s">
        <v>6</v>
      </c>
      <c r="C7" s="22">
        <v>0.04</v>
      </c>
    </row>
    <row r="8" spans="1:3" ht="15.75">
      <c r="A8" s="20"/>
      <c r="B8" s="21"/>
      <c r="C8" s="26"/>
    </row>
    <row r="9" spans="1:3" ht="15.75">
      <c r="A9" s="20">
        <v>4</v>
      </c>
      <c r="B9" s="21" t="s">
        <v>7</v>
      </c>
      <c r="C9" s="27">
        <f>SUM(C10:C13)</f>
        <v>5.6499999999999995E-2</v>
      </c>
    </row>
    <row r="10" spans="1:3" ht="15.75">
      <c r="A10" s="23" t="s">
        <v>8</v>
      </c>
      <c r="B10" s="28" t="s">
        <v>9</v>
      </c>
      <c r="C10" s="29">
        <v>6.4999999999999997E-3</v>
      </c>
    </row>
    <row r="11" spans="1:3" ht="15.75">
      <c r="A11" s="23" t="s">
        <v>10</v>
      </c>
      <c r="B11" s="28" t="s">
        <v>11</v>
      </c>
      <c r="C11" s="30">
        <v>0</v>
      </c>
    </row>
    <row r="12" spans="1:3" ht="15.75">
      <c r="A12" s="23" t="s">
        <v>12</v>
      </c>
      <c r="B12" s="28" t="s">
        <v>13</v>
      </c>
      <c r="C12" s="29">
        <v>0.03</v>
      </c>
    </row>
    <row r="13" spans="1:3" ht="15.75">
      <c r="A13" s="23" t="s">
        <v>14</v>
      </c>
      <c r="B13" s="28" t="s">
        <v>15</v>
      </c>
      <c r="C13" s="29">
        <v>0.02</v>
      </c>
    </row>
    <row r="14" spans="1:3" ht="15.75">
      <c r="A14" s="23"/>
      <c r="B14" s="21"/>
      <c r="C14" s="31"/>
    </row>
    <row r="15" spans="1:3" ht="15.75">
      <c r="A15" s="20">
        <v>5</v>
      </c>
      <c r="B15" s="21" t="s">
        <v>16</v>
      </c>
      <c r="C15" s="31">
        <f>SUM(C16:C18)</f>
        <v>1.3300000000000001E-2</v>
      </c>
    </row>
    <row r="16" spans="1:3" ht="15.75">
      <c r="A16" s="23" t="s">
        <v>17</v>
      </c>
      <c r="B16" s="28" t="s">
        <v>18</v>
      </c>
      <c r="C16" s="30">
        <v>8.5000000000000006E-3</v>
      </c>
    </row>
    <row r="17" spans="1:3" ht="15.75">
      <c r="A17" s="23" t="s">
        <v>19</v>
      </c>
      <c r="B17" s="28" t="s">
        <v>20</v>
      </c>
      <c r="C17" s="30">
        <v>2.8E-3</v>
      </c>
    </row>
    <row r="18" spans="1:3" ht="15.75">
      <c r="A18" s="23" t="s">
        <v>21</v>
      </c>
      <c r="B18" s="28" t="s">
        <v>22</v>
      </c>
      <c r="C18" s="30">
        <v>2E-3</v>
      </c>
    </row>
    <row r="19" spans="1:3" ht="15.75">
      <c r="A19" s="20"/>
      <c r="B19" s="21"/>
      <c r="C19" s="32"/>
    </row>
    <row r="20" spans="1:3" ht="15.75">
      <c r="A20" s="33"/>
      <c r="B20" s="34" t="s">
        <v>23</v>
      </c>
      <c r="C20" s="35">
        <f>(((1+(C5+C18+C16+C17))*(1+C3)*(1+C7))/(1-C9))-1</f>
        <v>0.16478489878113423</v>
      </c>
    </row>
    <row r="21" spans="1:3" ht="15.75">
      <c r="A21" s="36"/>
      <c r="B21" s="37"/>
      <c r="C21" s="38"/>
    </row>
    <row r="22" spans="1:3" ht="15.75">
      <c r="A22" s="39" t="s">
        <v>24</v>
      </c>
      <c r="B22" s="40"/>
      <c r="C22" s="38"/>
    </row>
    <row r="23" spans="1:3" ht="15.75">
      <c r="A23" s="36"/>
      <c r="B23" s="36"/>
      <c r="C23" s="38"/>
    </row>
    <row r="24" spans="1:3" ht="15.75">
      <c r="A24" s="41"/>
      <c r="B24" s="42"/>
      <c r="C24" s="38"/>
    </row>
    <row r="25" spans="1:3" ht="15.75">
      <c r="A25" s="41"/>
      <c r="B25" s="42"/>
      <c r="C25" s="38"/>
    </row>
    <row r="26" spans="1:3" ht="15.75">
      <c r="A26" s="41"/>
      <c r="B26" s="42"/>
      <c r="C26" s="38"/>
    </row>
    <row r="27" spans="1:3" ht="15.75">
      <c r="A27" s="41"/>
      <c r="B27" s="42"/>
      <c r="C27" s="38"/>
    </row>
    <row r="28" spans="1:3" ht="15.75">
      <c r="A28" s="41"/>
      <c r="B28" s="42"/>
      <c r="C28" s="38"/>
    </row>
    <row r="29" spans="1:3" ht="15.75">
      <c r="A29" s="41"/>
      <c r="B29" s="42"/>
      <c r="C29" s="38"/>
    </row>
    <row r="30" spans="1:3" ht="15.75">
      <c r="A30" s="41"/>
      <c r="B30" s="42"/>
      <c r="C30" s="38"/>
    </row>
    <row r="31" spans="1:3" ht="15.75">
      <c r="A31" s="41"/>
      <c r="B31" s="42"/>
      <c r="C31" s="38"/>
    </row>
    <row r="32" spans="1:3" ht="15.75">
      <c r="A32" s="41"/>
      <c r="B32" s="42"/>
      <c r="C32" s="38"/>
    </row>
    <row r="33" spans="1:3" ht="15.75">
      <c r="A33" s="41"/>
      <c r="B33" s="42"/>
      <c r="C33" s="38"/>
    </row>
    <row r="34" spans="1:3" ht="13.5">
      <c r="A34" s="43" t="s">
        <v>25</v>
      </c>
      <c r="C34" s="44"/>
    </row>
    <row r="35" spans="1:3" ht="15.75">
      <c r="A35" s="33"/>
      <c r="B35" s="42"/>
      <c r="C35" s="45"/>
    </row>
    <row r="36" spans="1:3" ht="15.75">
      <c r="A36" s="46" t="s">
        <v>26</v>
      </c>
      <c r="B36" s="42"/>
      <c r="C36" s="38"/>
    </row>
  </sheetData>
  <mergeCells count="1">
    <mergeCell ref="A1:C1"/>
  </mergeCells>
  <printOptions horizontalCentered="1" gridLines="1"/>
  <pageMargins left="0.196527777777778" right="0.196527777777778" top="1.9694444444444399" bottom="0.78611111111111098" header="0.31527777777777799" footer="0.31527777777777799"/>
  <pageSetup paperSize="9" orientation="portrait" horizontalDpi="300" verticalDpi="300" r:id="rId1"/>
  <headerFooter>
    <oddHeader>&amp;C PREFEITURA MUNICIPAL DE ANANINDEUA
Secretaria Municipal de Saúde
Coordenação de Projetos e Fiscalização de Obras
&amp;"Arial Narrow,Normal"COMPOSIÇÃO ANALÍTICA DAS TAXAS DE BDI_EQUIPAMENTO&amp;R&amp;P</oddHeader>
    <oddFooter>&amp;CAv. SN 21 Nº 18 – Cidade Nova, Ananindeua – PA, CEP 67143-810
Email: engsesau@hotmail.com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J36"/>
  <sheetViews>
    <sheetView showGridLines="0" showZeros="0" view="pageBreakPreview" zoomScaleNormal="130" workbookViewId="0">
      <selection activeCell="C9" sqref="C9"/>
    </sheetView>
  </sheetViews>
  <sheetFormatPr defaultColWidth="9.140625" defaultRowHeight="12.75"/>
  <cols>
    <col min="1" max="1" width="9.5703125" style="15" customWidth="1"/>
    <col min="2" max="2" width="74" style="16" customWidth="1"/>
    <col min="3" max="3" width="12.28515625" style="16" customWidth="1"/>
    <col min="4" max="1024" width="9.140625" style="17"/>
  </cols>
  <sheetData>
    <row r="1" spans="1:4" ht="15">
      <c r="A1" s="14" t="s">
        <v>27</v>
      </c>
      <c r="B1" s="14"/>
      <c r="C1" s="14"/>
      <c r="D1" s="47"/>
    </row>
    <row r="2" spans="1:4" s="19" customFormat="1" ht="15.75">
      <c r="A2" s="48" t="s">
        <v>1</v>
      </c>
      <c r="B2" s="48" t="s">
        <v>2</v>
      </c>
      <c r="C2" s="49" t="s">
        <v>3</v>
      </c>
    </row>
    <row r="3" spans="1:4" ht="15.75">
      <c r="A3" s="50">
        <v>1</v>
      </c>
      <c r="B3" s="51" t="s">
        <v>4</v>
      </c>
      <c r="C3" s="52">
        <v>1.4999999999999999E-2</v>
      </c>
    </row>
    <row r="4" spans="1:4" ht="15.75">
      <c r="A4" s="53"/>
      <c r="B4" s="51"/>
      <c r="C4" s="54"/>
    </row>
    <row r="5" spans="1:4" ht="15.75">
      <c r="A5" s="50">
        <v>2</v>
      </c>
      <c r="B5" s="51" t="s">
        <v>5</v>
      </c>
      <c r="C5" s="52">
        <v>4.6100000000000002E-2</v>
      </c>
    </row>
    <row r="6" spans="1:4" ht="15.75">
      <c r="A6" s="50"/>
      <c r="B6" s="51"/>
      <c r="C6" s="55"/>
    </row>
    <row r="7" spans="1:4" ht="15.75">
      <c r="A7" s="50">
        <v>3</v>
      </c>
      <c r="B7" s="51" t="s">
        <v>6</v>
      </c>
      <c r="C7" s="52">
        <v>6.7400000000000002E-2</v>
      </c>
    </row>
    <row r="8" spans="1:4" ht="15.75">
      <c r="A8" s="50"/>
      <c r="B8" s="51"/>
      <c r="C8" s="56"/>
    </row>
    <row r="9" spans="1:4" ht="15.75">
      <c r="A9" s="50">
        <v>4</v>
      </c>
      <c r="B9" s="51" t="s">
        <v>7</v>
      </c>
      <c r="C9" s="57">
        <f>SUM(C10:C13)</f>
        <v>8.6499999999999994E-2</v>
      </c>
    </row>
    <row r="10" spans="1:4" ht="15.75">
      <c r="A10" s="53" t="s">
        <v>8</v>
      </c>
      <c r="B10" s="58" t="s">
        <v>9</v>
      </c>
      <c r="C10" s="59">
        <v>6.4999999999999997E-3</v>
      </c>
    </row>
    <row r="11" spans="1:4" ht="15.75">
      <c r="A11" s="53" t="s">
        <v>10</v>
      </c>
      <c r="B11" s="58" t="s">
        <v>11</v>
      </c>
      <c r="C11" s="59">
        <v>0.05</v>
      </c>
    </row>
    <row r="12" spans="1:4" ht="15.75">
      <c r="A12" s="53" t="s">
        <v>12</v>
      </c>
      <c r="B12" s="58" t="s">
        <v>13</v>
      </c>
      <c r="C12" s="59">
        <v>0.03</v>
      </c>
    </row>
    <row r="13" spans="1:4" ht="15.75">
      <c r="A13" s="53" t="s">
        <v>14</v>
      </c>
      <c r="B13" s="58" t="s">
        <v>15</v>
      </c>
      <c r="C13" s="59">
        <v>0</v>
      </c>
    </row>
    <row r="14" spans="1:4" ht="15.75">
      <c r="A14" s="53"/>
      <c r="B14" s="51"/>
      <c r="C14" s="60"/>
    </row>
    <row r="15" spans="1:4" ht="15.75">
      <c r="A15" s="50">
        <v>5</v>
      </c>
      <c r="B15" s="51" t="s">
        <v>16</v>
      </c>
      <c r="C15" s="52">
        <f>SUM(C16:C18)</f>
        <v>1.6299999999999999E-2</v>
      </c>
    </row>
    <row r="16" spans="1:4" ht="15.75">
      <c r="A16" s="53" t="s">
        <v>17</v>
      </c>
      <c r="B16" s="58" t="s">
        <v>18</v>
      </c>
      <c r="C16" s="59">
        <v>0.01</v>
      </c>
    </row>
    <row r="17" spans="1:5" ht="15.75">
      <c r="A17" s="53" t="s">
        <v>19</v>
      </c>
      <c r="B17" s="58" t="s">
        <v>20</v>
      </c>
      <c r="C17" s="59">
        <v>4.4999999999999997E-3</v>
      </c>
    </row>
    <row r="18" spans="1:5" ht="15.75">
      <c r="A18" s="53" t="s">
        <v>21</v>
      </c>
      <c r="B18" s="58" t="s">
        <v>22</v>
      </c>
      <c r="C18" s="59">
        <v>1.8E-3</v>
      </c>
    </row>
    <row r="19" spans="1:5" ht="15.75">
      <c r="A19" s="50"/>
      <c r="B19" s="51"/>
      <c r="C19" s="61"/>
    </row>
    <row r="20" spans="1:5" ht="15.75">
      <c r="A20" s="13" t="s">
        <v>23</v>
      </c>
      <c r="B20" s="13"/>
      <c r="C20" s="62">
        <f>(((1+(C5+C18+C16+C17))*(1+C3)*(1+C7))/(1-C9))-1</f>
        <v>0.26000639999999975</v>
      </c>
    </row>
    <row r="21" spans="1:5" ht="15.75">
      <c r="A21" s="36"/>
      <c r="B21" s="37"/>
      <c r="C21" s="38"/>
    </row>
    <row r="22" spans="1:5" ht="15.75">
      <c r="A22" s="39" t="s">
        <v>24</v>
      </c>
      <c r="B22" s="40"/>
      <c r="C22" s="38"/>
    </row>
    <row r="23" spans="1:5" ht="15.75">
      <c r="A23" s="36"/>
      <c r="B23" s="36"/>
      <c r="C23" s="38"/>
    </row>
    <row r="24" spans="1:5" ht="15.75">
      <c r="A24" s="41"/>
      <c r="B24" s="42"/>
      <c r="C24" s="38"/>
      <c r="E24" s="17" t="s">
        <v>28</v>
      </c>
    </row>
    <row r="25" spans="1:5" ht="15.75">
      <c r="A25" s="41"/>
      <c r="B25" s="42"/>
      <c r="C25" s="38"/>
    </row>
    <row r="26" spans="1:5" ht="15.75">
      <c r="A26" s="41"/>
      <c r="B26" s="42"/>
      <c r="C26" s="38"/>
    </row>
    <row r="27" spans="1:5" ht="15.75">
      <c r="A27" s="41"/>
      <c r="B27" s="42"/>
      <c r="C27" s="38"/>
    </row>
    <row r="28" spans="1:5" ht="15.75">
      <c r="A28" s="41"/>
      <c r="B28" s="42"/>
      <c r="C28" s="38"/>
    </row>
    <row r="29" spans="1:5" ht="15.75">
      <c r="A29" s="41"/>
      <c r="B29" s="42"/>
      <c r="C29" s="38"/>
    </row>
    <row r="30" spans="1:5" ht="15.75">
      <c r="A30" s="41"/>
      <c r="B30" s="42"/>
      <c r="C30" s="38"/>
    </row>
    <row r="31" spans="1:5" ht="15.75">
      <c r="A31" s="41"/>
      <c r="B31" s="42"/>
      <c r="C31" s="38"/>
    </row>
    <row r="32" spans="1:5" ht="15.75">
      <c r="A32" s="41"/>
      <c r="B32" s="42"/>
      <c r="C32" s="38"/>
    </row>
    <row r="33" spans="1:3" ht="15.75">
      <c r="A33" s="41"/>
      <c r="B33" s="42"/>
      <c r="C33" s="38"/>
    </row>
    <row r="34" spans="1:3" ht="13.5">
      <c r="A34" s="44" t="s">
        <v>29</v>
      </c>
      <c r="B34" s="44"/>
      <c r="C34" s="44"/>
    </row>
    <row r="35" spans="1:3" ht="15.75">
      <c r="A35" s="33"/>
      <c r="B35" s="42"/>
      <c r="C35" s="45"/>
    </row>
    <row r="36" spans="1:3" ht="15.75">
      <c r="A36" s="46" t="s">
        <v>26</v>
      </c>
      <c r="B36" s="42"/>
      <c r="C36" s="38"/>
    </row>
  </sheetData>
  <mergeCells count="2">
    <mergeCell ref="A1:C1"/>
    <mergeCell ref="A20:B20"/>
  </mergeCells>
  <printOptions horizontalCentered="1"/>
  <pageMargins left="0.196527777777778" right="0.196527777777778" top="1.96875" bottom="0.78680555555555598" header="0.31527777777777799" footer="0.31527777777777799"/>
  <pageSetup paperSize="9" orientation="portrait" horizontalDpi="300" verticalDpi="300" r:id="rId1"/>
  <headerFooter>
    <oddHeader>&amp;C PREFEITURA MUNICIPAL DE ANANINDEUA
Secretaria Municipal de Saúde
Coordenação de Projetos e Fiscalização de Obras&amp;R&amp;P</oddHeader>
    <oddFooter>&amp;CAv. Três Corações nº 5650  – Coqueiro, Ananindeua – PA, CEP 67015-230
Email: engsesau@hotmail.com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42"/>
  <sheetViews>
    <sheetView showGridLines="0" showZeros="0" view="pageBreakPreview" topLeftCell="A13" zoomScaleNormal="130" workbookViewId="0"/>
  </sheetViews>
  <sheetFormatPr defaultColWidth="9.140625" defaultRowHeight="12.75"/>
  <cols>
    <col min="1" max="1" width="9.5703125" style="15" customWidth="1"/>
    <col min="2" max="2" width="55.85546875" style="16" customWidth="1"/>
    <col min="3" max="3" width="10" style="16" customWidth="1"/>
    <col min="4" max="4" width="14" style="16" customWidth="1"/>
    <col min="5" max="1024" width="9.140625" style="17"/>
  </cols>
  <sheetData>
    <row r="1" spans="1:4" s="19" customFormat="1" ht="15">
      <c r="A1" s="12" t="s">
        <v>30</v>
      </c>
      <c r="B1" s="12"/>
      <c r="C1" s="12"/>
      <c r="D1" s="12"/>
    </row>
    <row r="2" spans="1:4" ht="15">
      <c r="A2" s="63" t="s">
        <v>31</v>
      </c>
      <c r="B2" s="63" t="s">
        <v>32</v>
      </c>
      <c r="C2" s="63" t="s">
        <v>33</v>
      </c>
      <c r="D2" s="63" t="s">
        <v>34</v>
      </c>
    </row>
    <row r="3" spans="1:4" ht="15">
      <c r="A3" s="11" t="s">
        <v>35</v>
      </c>
      <c r="B3" s="11"/>
      <c r="C3" s="11"/>
      <c r="D3" s="11"/>
    </row>
    <row r="4" spans="1:4">
      <c r="A4" s="64" t="s">
        <v>36</v>
      </c>
      <c r="B4" s="65" t="s">
        <v>37</v>
      </c>
      <c r="C4" s="66">
        <v>20</v>
      </c>
      <c r="D4" s="66">
        <v>20</v>
      </c>
    </row>
    <row r="5" spans="1:4">
      <c r="A5" s="64" t="s">
        <v>38</v>
      </c>
      <c r="B5" s="65" t="s">
        <v>39</v>
      </c>
      <c r="C5" s="66">
        <v>1.5</v>
      </c>
      <c r="D5" s="66">
        <v>1.5</v>
      </c>
    </row>
    <row r="6" spans="1:4">
      <c r="A6" s="64" t="s">
        <v>40</v>
      </c>
      <c r="B6" s="65" t="s">
        <v>41</v>
      </c>
      <c r="C6" s="66">
        <v>1</v>
      </c>
      <c r="D6" s="66">
        <v>1</v>
      </c>
    </row>
    <row r="7" spans="1:4">
      <c r="A7" s="64" t="s">
        <v>42</v>
      </c>
      <c r="B7" s="65" t="s">
        <v>43</v>
      </c>
      <c r="C7" s="66">
        <v>0.2</v>
      </c>
      <c r="D7" s="66">
        <v>0.2</v>
      </c>
    </row>
    <row r="8" spans="1:4">
      <c r="A8" s="64" t="s">
        <v>44</v>
      </c>
      <c r="B8" s="65" t="s">
        <v>45</v>
      </c>
      <c r="C8" s="66">
        <v>0.6</v>
      </c>
      <c r="D8" s="66">
        <v>0.6</v>
      </c>
    </row>
    <row r="9" spans="1:4">
      <c r="A9" s="64" t="s">
        <v>46</v>
      </c>
      <c r="B9" s="65" t="s">
        <v>47</v>
      </c>
      <c r="C9" s="66">
        <v>2.5</v>
      </c>
      <c r="D9" s="66">
        <v>2.5</v>
      </c>
    </row>
    <row r="10" spans="1:4">
      <c r="A10" s="64" t="s">
        <v>48</v>
      </c>
      <c r="B10" s="65" t="s">
        <v>49</v>
      </c>
      <c r="C10" s="66">
        <v>3</v>
      </c>
      <c r="D10" s="66">
        <v>3</v>
      </c>
    </row>
    <row r="11" spans="1:4">
      <c r="A11" s="64" t="s">
        <v>50</v>
      </c>
      <c r="B11" s="65" t="s">
        <v>51</v>
      </c>
      <c r="C11" s="66">
        <v>8</v>
      </c>
      <c r="D11" s="66">
        <v>8</v>
      </c>
    </row>
    <row r="12" spans="1:4">
      <c r="A12" s="64" t="s">
        <v>52</v>
      </c>
      <c r="B12" s="65" t="s">
        <v>53</v>
      </c>
      <c r="C12" s="66">
        <v>0</v>
      </c>
      <c r="D12" s="66">
        <v>0</v>
      </c>
    </row>
    <row r="13" spans="1:4" ht="15">
      <c r="A13" s="63" t="s">
        <v>54</v>
      </c>
      <c r="B13" s="67" t="s">
        <v>55</v>
      </c>
      <c r="C13" s="68">
        <f>SUM(C4:C12)</f>
        <v>36.799999999999997</v>
      </c>
      <c r="D13" s="68">
        <f>SUM(D4:D12)</f>
        <v>36.799999999999997</v>
      </c>
    </row>
    <row r="14" spans="1:4" ht="15">
      <c r="A14" s="11" t="s">
        <v>56</v>
      </c>
      <c r="B14" s="11"/>
      <c r="C14" s="11"/>
      <c r="D14" s="11"/>
    </row>
    <row r="15" spans="1:4">
      <c r="A15" s="64" t="s">
        <v>57</v>
      </c>
      <c r="B15" s="65" t="s">
        <v>58</v>
      </c>
      <c r="C15" s="66">
        <v>18.11</v>
      </c>
      <c r="D15" s="66">
        <v>0</v>
      </c>
    </row>
    <row r="16" spans="1:4">
      <c r="A16" s="64" t="s">
        <v>59</v>
      </c>
      <c r="B16" s="65" t="s">
        <v>60</v>
      </c>
      <c r="C16" s="66">
        <v>4.1500000000000004</v>
      </c>
      <c r="D16" s="66">
        <v>0</v>
      </c>
    </row>
    <row r="17" spans="1:4">
      <c r="A17" s="64" t="s">
        <v>61</v>
      </c>
      <c r="B17" s="65" t="s">
        <v>62</v>
      </c>
      <c r="C17" s="66">
        <v>0.89</v>
      </c>
      <c r="D17" s="66">
        <v>0.67</v>
      </c>
    </row>
    <row r="18" spans="1:4">
      <c r="A18" s="64" t="s">
        <v>63</v>
      </c>
      <c r="B18" s="65" t="s">
        <v>64</v>
      </c>
      <c r="C18" s="66">
        <v>10.98</v>
      </c>
      <c r="D18" s="66">
        <v>8.33</v>
      </c>
    </row>
    <row r="19" spans="1:4">
      <c r="A19" s="64" t="s">
        <v>65</v>
      </c>
      <c r="B19" s="65" t="s">
        <v>66</v>
      </c>
      <c r="C19" s="66">
        <v>7.0000000000000007E-2</v>
      </c>
      <c r="D19" s="66">
        <v>0.06</v>
      </c>
    </row>
    <row r="20" spans="1:4">
      <c r="A20" s="64" t="s">
        <v>67</v>
      </c>
      <c r="B20" s="65" t="s">
        <v>68</v>
      </c>
      <c r="C20" s="66">
        <v>0.73</v>
      </c>
      <c r="D20" s="66">
        <v>0.56000000000000005</v>
      </c>
    </row>
    <row r="21" spans="1:4">
      <c r="A21" s="64" t="s">
        <v>69</v>
      </c>
      <c r="B21" s="65" t="s">
        <v>70</v>
      </c>
      <c r="C21" s="66">
        <v>2.68</v>
      </c>
      <c r="D21" s="66">
        <v>0</v>
      </c>
    </row>
    <row r="22" spans="1:4">
      <c r="A22" s="64" t="s">
        <v>71</v>
      </c>
      <c r="B22" s="65" t="s">
        <v>72</v>
      </c>
      <c r="C22" s="66">
        <v>0.11</v>
      </c>
      <c r="D22" s="66">
        <v>0.08</v>
      </c>
    </row>
    <row r="23" spans="1:4">
      <c r="A23" s="64" t="s">
        <v>73</v>
      </c>
      <c r="B23" s="65" t="s">
        <v>74</v>
      </c>
      <c r="C23" s="66">
        <v>9.27</v>
      </c>
      <c r="D23" s="66">
        <v>7.03</v>
      </c>
    </row>
    <row r="24" spans="1:4">
      <c r="A24" s="64" t="s">
        <v>75</v>
      </c>
      <c r="B24" s="65" t="s">
        <v>76</v>
      </c>
      <c r="C24" s="66">
        <v>0.03</v>
      </c>
      <c r="D24" s="66">
        <v>0.03</v>
      </c>
    </row>
    <row r="25" spans="1:4" ht="15">
      <c r="A25" s="63" t="s">
        <v>77</v>
      </c>
      <c r="B25" s="67" t="s">
        <v>78</v>
      </c>
      <c r="C25" s="68">
        <f>SUM(C15:C24)</f>
        <v>47.019999999999996</v>
      </c>
      <c r="D25" s="68">
        <f>SUM(D15:D24)</f>
        <v>16.760000000000002</v>
      </c>
    </row>
    <row r="26" spans="1:4" ht="15">
      <c r="A26" s="11" t="s">
        <v>79</v>
      </c>
      <c r="B26" s="11"/>
      <c r="C26" s="11"/>
      <c r="D26" s="11"/>
    </row>
    <row r="27" spans="1:4">
      <c r="A27" s="64" t="s">
        <v>80</v>
      </c>
      <c r="B27" s="65" t="s">
        <v>81</v>
      </c>
      <c r="C27" s="66">
        <v>5.69</v>
      </c>
      <c r="D27" s="66">
        <v>4.32</v>
      </c>
    </row>
    <row r="28" spans="1:4">
      <c r="A28" s="64" t="s">
        <v>82</v>
      </c>
      <c r="B28" s="65" t="s">
        <v>83</v>
      </c>
      <c r="C28" s="66">
        <v>0.13</v>
      </c>
      <c r="D28" s="66">
        <v>0.1</v>
      </c>
    </row>
    <row r="29" spans="1:4">
      <c r="A29" s="64" t="s">
        <v>84</v>
      </c>
      <c r="B29" s="65" t="s">
        <v>85</v>
      </c>
      <c r="C29" s="66">
        <v>4.47</v>
      </c>
      <c r="D29" s="66">
        <v>3.39</v>
      </c>
    </row>
    <row r="30" spans="1:4">
      <c r="A30" s="64" t="s">
        <v>86</v>
      </c>
      <c r="B30" s="65" t="s">
        <v>87</v>
      </c>
      <c r="C30" s="66">
        <v>3.93</v>
      </c>
      <c r="D30" s="66">
        <v>2.98</v>
      </c>
    </row>
    <row r="31" spans="1:4">
      <c r="A31" s="64" t="s">
        <v>88</v>
      </c>
      <c r="B31" s="65" t="s">
        <v>89</v>
      </c>
      <c r="C31" s="66">
        <v>0.48</v>
      </c>
      <c r="D31" s="66">
        <v>0.36</v>
      </c>
    </row>
    <row r="32" spans="1:4" ht="15">
      <c r="A32" s="63" t="s">
        <v>90</v>
      </c>
      <c r="B32" s="67" t="s">
        <v>91</v>
      </c>
      <c r="C32" s="68">
        <f>SUM(C27:C31)</f>
        <v>14.7</v>
      </c>
      <c r="D32" s="68">
        <f>SUM(D27:D31)</f>
        <v>11.15</v>
      </c>
    </row>
    <row r="33" spans="1:4" ht="15">
      <c r="A33" s="11" t="s">
        <v>92</v>
      </c>
      <c r="B33" s="11"/>
      <c r="C33" s="11"/>
      <c r="D33" s="11"/>
    </row>
    <row r="34" spans="1:4">
      <c r="A34" s="64" t="s">
        <v>93</v>
      </c>
      <c r="B34" s="65" t="s">
        <v>94</v>
      </c>
      <c r="C34" s="66">
        <v>17.3</v>
      </c>
      <c r="D34" s="66">
        <v>6.17</v>
      </c>
    </row>
    <row r="35" spans="1:4" ht="25.5">
      <c r="A35" s="64" t="s">
        <v>95</v>
      </c>
      <c r="B35" s="69" t="s">
        <v>96</v>
      </c>
      <c r="C35" s="70">
        <v>0.5</v>
      </c>
      <c r="D35" s="70">
        <v>0.38</v>
      </c>
    </row>
    <row r="36" spans="1:4" ht="15">
      <c r="A36" s="63" t="s">
        <v>97</v>
      </c>
      <c r="B36" s="67" t="s">
        <v>98</v>
      </c>
      <c r="C36" s="68">
        <f>SUM(C34:C35)</f>
        <v>17.8</v>
      </c>
      <c r="D36" s="68">
        <f>SUM(D34:D35)</f>
        <v>6.55</v>
      </c>
    </row>
    <row r="37" spans="1:4" ht="15">
      <c r="A37" s="10" t="s">
        <v>99</v>
      </c>
      <c r="B37" s="10"/>
      <c r="C37" s="71">
        <f>(C13+C25+C32+C36)</f>
        <v>116.32</v>
      </c>
      <c r="D37" s="71">
        <f>D13+D25+D32+D36</f>
        <v>71.260000000000005</v>
      </c>
    </row>
    <row r="38" spans="1:4">
      <c r="A38" s="72"/>
      <c r="B38" s="72"/>
      <c r="C38" s="72"/>
      <c r="D38" s="72"/>
    </row>
    <row r="39" spans="1:4">
      <c r="A39" s="72" t="s">
        <v>100</v>
      </c>
      <c r="B39" s="72"/>
      <c r="C39" s="72"/>
      <c r="D39" s="72"/>
    </row>
    <row r="40" spans="1:4">
      <c r="A40" s="73"/>
      <c r="B40" s="74"/>
      <c r="C40" s="74"/>
      <c r="D40" s="74"/>
    </row>
    <row r="42" spans="1:4">
      <c r="A42" s="75"/>
      <c r="B42" s="76"/>
      <c r="C42" s="76"/>
      <c r="D42" s="76"/>
    </row>
  </sheetData>
  <mergeCells count="6">
    <mergeCell ref="A37:B37"/>
    <mergeCell ref="A1:D1"/>
    <mergeCell ref="A3:D3"/>
    <mergeCell ref="A14:D14"/>
    <mergeCell ref="A26:D26"/>
    <mergeCell ref="A33:D33"/>
  </mergeCells>
  <printOptions horizontalCentered="1" gridLines="1"/>
  <pageMargins left="0.196527777777778" right="0.196527777777778" top="1.96875" bottom="0.78680555555555598" header="0.31527777777777799" footer="0.31527777777777799"/>
  <pageSetup paperSize="9" orientation="portrait" horizontalDpi="300" verticalDpi="300" r:id="rId1"/>
  <headerFooter>
    <oddHeader>&amp;C PREFEITURA MUNICIPAL DE ANANINDEUA
Secretaria Municipal de Saúde
Coordenação de Projetos e Fiscalização de Obras&amp;R&amp;P</oddHeader>
    <oddFooter>&amp;CAv. Três Corações nº 5650  – Coqueiro, Ananindeua – PA, CEP 67015-230
Email: engsesau@hotmail.com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MJ81"/>
  <sheetViews>
    <sheetView showZeros="0" view="pageBreakPreview" zoomScaleNormal="100" workbookViewId="0">
      <selection activeCell="I7" sqref="I7"/>
    </sheetView>
  </sheetViews>
  <sheetFormatPr defaultColWidth="8.85546875" defaultRowHeight="15"/>
  <cols>
    <col min="1" max="2" width="8.85546875" style="77"/>
    <col min="3" max="3" width="35.28515625" style="77" customWidth="1"/>
    <col min="4" max="4" width="12.28515625" style="77" customWidth="1"/>
    <col min="5" max="7" width="12" style="77" customWidth="1"/>
    <col min="8" max="8" width="12.85546875" style="77" customWidth="1"/>
    <col min="9" max="9" width="11" style="77" customWidth="1"/>
    <col min="10" max="1024" width="8.85546875" style="77"/>
  </cols>
  <sheetData>
    <row r="2" spans="2:9" s="78" customFormat="1" ht="21" customHeight="1">
      <c r="B2" s="9" t="s">
        <v>101</v>
      </c>
      <c r="C2" s="9"/>
      <c r="D2" s="9"/>
      <c r="E2" s="9"/>
      <c r="F2" s="9"/>
      <c r="G2" s="9"/>
      <c r="H2" s="9"/>
    </row>
    <row r="3" spans="2:9" s="78" customFormat="1" ht="21" customHeight="1">
      <c r="B3" s="8" t="s">
        <v>102</v>
      </c>
      <c r="C3" s="8"/>
      <c r="D3" s="8"/>
      <c r="E3" s="8"/>
      <c r="F3" s="8"/>
      <c r="G3" s="8"/>
      <c r="H3" s="8"/>
    </row>
    <row r="4" spans="2:9" s="78" customFormat="1" ht="21" customHeight="1">
      <c r="B4" s="7"/>
      <c r="C4" s="7"/>
      <c r="D4" s="7"/>
      <c r="E4" s="7"/>
      <c r="F4" s="7"/>
      <c r="G4" s="7"/>
      <c r="H4" s="7"/>
      <c r="I4" s="79"/>
    </row>
    <row r="5" spans="2:9" s="78" customFormat="1" ht="21" customHeight="1">
      <c r="B5" s="6" t="s">
        <v>103</v>
      </c>
      <c r="C5" s="6"/>
      <c r="D5" s="6"/>
      <c r="E5" s="6"/>
      <c r="F5" s="6"/>
      <c r="G5" s="6"/>
      <c r="H5" s="6"/>
    </row>
    <row r="6" spans="2:9" s="78" customFormat="1" ht="21" customHeight="1">
      <c r="B6" s="5" t="s">
        <v>104</v>
      </c>
      <c r="C6" s="5"/>
      <c r="D6" s="5"/>
      <c r="E6" s="5"/>
      <c r="F6" s="5"/>
      <c r="G6" s="5"/>
      <c r="H6" s="5"/>
    </row>
    <row r="7" spans="2:9" s="78" customFormat="1" ht="12.75">
      <c r="B7" s="4" t="s">
        <v>105</v>
      </c>
      <c r="C7" s="4"/>
      <c r="D7" s="4"/>
      <c r="E7" s="4"/>
      <c r="F7" s="4"/>
      <c r="G7" s="4"/>
      <c r="H7" s="4"/>
    </row>
    <row r="8" spans="2:9" ht="15.75">
      <c r="B8" s="3" t="s">
        <v>106</v>
      </c>
      <c r="C8" s="3"/>
      <c r="D8" s="3"/>
      <c r="E8" s="3"/>
      <c r="F8" s="3"/>
      <c r="G8" s="3"/>
      <c r="H8" s="3"/>
      <c r="I8" s="80"/>
    </row>
    <row r="9" spans="2:9">
      <c r="B9" s="81" t="s">
        <v>1</v>
      </c>
      <c r="C9" s="2" t="s">
        <v>107</v>
      </c>
      <c r="D9" s="2"/>
      <c r="E9" s="1" t="s">
        <v>108</v>
      </c>
      <c r="F9" s="1"/>
      <c r="G9" s="1"/>
      <c r="H9" s="83"/>
      <c r="I9" s="84"/>
    </row>
    <row r="10" spans="2:9">
      <c r="B10" s="85"/>
      <c r="C10" s="85"/>
      <c r="D10" s="83"/>
      <c r="E10" s="86">
        <v>1</v>
      </c>
      <c r="F10" s="87">
        <v>2</v>
      </c>
      <c r="G10" s="87">
        <v>3</v>
      </c>
      <c r="H10" s="87" t="s">
        <v>109</v>
      </c>
      <c r="I10" s="88"/>
    </row>
    <row r="11" spans="2:9" ht="11.25" customHeight="1">
      <c r="B11" s="87">
        <v>1</v>
      </c>
      <c r="C11" s="89" t="s">
        <v>110</v>
      </c>
      <c r="D11" s="90" t="s">
        <v>111</v>
      </c>
      <c r="E11" s="91">
        <v>1</v>
      </c>
      <c r="F11" s="91">
        <v>0</v>
      </c>
      <c r="G11" s="91">
        <v>0</v>
      </c>
      <c r="H11" s="92">
        <f>SUM(E11:G11)</f>
        <v>1</v>
      </c>
      <c r="I11" s="93"/>
    </row>
    <row r="12" spans="2:9" ht="6" customHeight="1">
      <c r="B12" s="94"/>
      <c r="C12" s="95"/>
      <c r="D12" s="96"/>
      <c r="E12" s="97"/>
      <c r="F12" s="98"/>
      <c r="G12" s="98"/>
      <c r="H12" s="99"/>
      <c r="I12" s="93"/>
    </row>
    <row r="13" spans="2:9" ht="11.25" customHeight="1">
      <c r="B13" s="82"/>
      <c r="C13" s="100"/>
      <c r="D13" s="101" t="s">
        <v>112</v>
      </c>
      <c r="E13" s="102" t="e">
        <f>H13*E11</f>
        <v>#REF!</v>
      </c>
      <c r="F13" s="102">
        <f>I13*F11</f>
        <v>0</v>
      </c>
      <c r="G13" s="102">
        <f>J13*G11</f>
        <v>0</v>
      </c>
      <c r="H13" s="103" t="e">
        <f>#REF!</f>
        <v>#REF!</v>
      </c>
      <c r="I13" s="104"/>
    </row>
    <row r="14" spans="2:9" ht="11.25" customHeight="1">
      <c r="B14" s="94">
        <v>2</v>
      </c>
      <c r="C14" s="105" t="s">
        <v>113</v>
      </c>
      <c r="D14" s="96" t="s">
        <v>111</v>
      </c>
      <c r="E14" s="91">
        <v>1</v>
      </c>
      <c r="F14" s="91">
        <v>0</v>
      </c>
      <c r="G14" s="91">
        <v>0</v>
      </c>
      <c r="H14" s="106">
        <f>SUM(E14:G14)</f>
        <v>1</v>
      </c>
      <c r="I14" s="93"/>
    </row>
    <row r="15" spans="2:9" ht="6" customHeight="1">
      <c r="B15" s="94"/>
      <c r="C15" s="95"/>
      <c r="D15" s="107"/>
      <c r="E15" s="97"/>
      <c r="F15" s="98"/>
      <c r="G15" s="98"/>
      <c r="H15" s="99"/>
      <c r="I15" s="93"/>
    </row>
    <row r="16" spans="2:9" ht="11.25" customHeight="1">
      <c r="B16" s="94"/>
      <c r="C16" s="95"/>
      <c r="D16" s="108" t="s">
        <v>112</v>
      </c>
      <c r="E16" s="102" t="e">
        <f>H16*E14</f>
        <v>#REF!</v>
      </c>
      <c r="F16" s="102">
        <f>I16*F14</f>
        <v>0</v>
      </c>
      <c r="G16" s="102">
        <f>J16*G14</f>
        <v>0</v>
      </c>
      <c r="H16" s="109" t="e">
        <f>#REF!</f>
        <v>#REF!</v>
      </c>
      <c r="I16" s="110"/>
    </row>
    <row r="17" spans="2:9" ht="11.25" customHeight="1">
      <c r="B17" s="87">
        <v>3</v>
      </c>
      <c r="C17" s="111" t="s">
        <v>114</v>
      </c>
      <c r="D17" s="90" t="s">
        <v>111</v>
      </c>
      <c r="E17" s="91">
        <v>1</v>
      </c>
      <c r="F17" s="91">
        <v>0</v>
      </c>
      <c r="G17" s="91">
        <v>0</v>
      </c>
      <c r="H17" s="92">
        <f>SUM(E17:G17)</f>
        <v>1</v>
      </c>
      <c r="I17" s="93"/>
    </row>
    <row r="18" spans="2:9" ht="6" customHeight="1">
      <c r="B18" s="94"/>
      <c r="C18" s="95"/>
      <c r="D18" s="107"/>
      <c r="E18" s="97"/>
      <c r="F18" s="98"/>
      <c r="G18" s="98"/>
      <c r="H18" s="99"/>
      <c r="I18" s="93"/>
    </row>
    <row r="19" spans="2:9" ht="11.25" customHeight="1">
      <c r="B19" s="94"/>
      <c r="C19" s="95"/>
      <c r="D19" s="108" t="s">
        <v>112</v>
      </c>
      <c r="E19" s="102" t="e">
        <f>H19*E17</f>
        <v>#REF!</v>
      </c>
      <c r="F19" s="102">
        <f>I19*F17</f>
        <v>0</v>
      </c>
      <c r="G19" s="102">
        <f>J19*G17</f>
        <v>0</v>
      </c>
      <c r="H19" s="109" t="e">
        <f>#REF!</f>
        <v>#REF!</v>
      </c>
      <c r="I19" s="110"/>
    </row>
    <row r="20" spans="2:9" ht="11.25" customHeight="1">
      <c r="B20" s="87">
        <v>4</v>
      </c>
      <c r="C20" s="89" t="s">
        <v>115</v>
      </c>
      <c r="D20" s="90" t="s">
        <v>111</v>
      </c>
      <c r="E20" s="91">
        <v>1</v>
      </c>
      <c r="F20" s="91">
        <v>0</v>
      </c>
      <c r="G20" s="91">
        <v>0</v>
      </c>
      <c r="H20" s="92">
        <f>SUM(E20:G20)</f>
        <v>1</v>
      </c>
      <c r="I20" s="93"/>
    </row>
    <row r="21" spans="2:9" ht="6" customHeight="1">
      <c r="B21" s="94"/>
      <c r="C21" s="95"/>
      <c r="D21" s="107"/>
      <c r="E21" s="97"/>
      <c r="F21" s="98"/>
      <c r="G21" s="98"/>
      <c r="H21" s="99"/>
      <c r="I21" s="93"/>
    </row>
    <row r="22" spans="2:9" ht="11.25" customHeight="1">
      <c r="B22" s="82"/>
      <c r="C22" s="100"/>
      <c r="D22" s="101" t="s">
        <v>112</v>
      </c>
      <c r="E22" s="102" t="e">
        <f>H22*E20</f>
        <v>#REF!</v>
      </c>
      <c r="F22" s="102">
        <f>I22*F20</f>
        <v>0</v>
      </c>
      <c r="G22" s="102">
        <f>J22*G20</f>
        <v>0</v>
      </c>
      <c r="H22" s="112" t="e">
        <f>#REF!</f>
        <v>#REF!</v>
      </c>
      <c r="I22" s="110"/>
    </row>
    <row r="23" spans="2:9" ht="11.25" customHeight="1">
      <c r="B23" s="87">
        <v>5</v>
      </c>
      <c r="C23" s="111" t="s">
        <v>116</v>
      </c>
      <c r="D23" s="90" t="s">
        <v>111</v>
      </c>
      <c r="E23" s="91">
        <v>0.3</v>
      </c>
      <c r="F23" s="91">
        <v>0.7</v>
      </c>
      <c r="G23" s="91">
        <v>0</v>
      </c>
      <c r="H23" s="92">
        <f>SUM(E23:G23)</f>
        <v>1</v>
      </c>
      <c r="I23" s="93"/>
    </row>
    <row r="24" spans="2:9" ht="6" customHeight="1">
      <c r="B24" s="94"/>
      <c r="C24" s="95"/>
      <c r="D24" s="107"/>
      <c r="E24" s="97"/>
      <c r="F24" s="97"/>
      <c r="G24" s="98"/>
      <c r="H24" s="99"/>
      <c r="I24" s="93"/>
    </row>
    <row r="25" spans="2:9" ht="11.25" customHeight="1">
      <c r="B25" s="82"/>
      <c r="C25" s="100"/>
      <c r="D25" s="101" t="s">
        <v>112</v>
      </c>
      <c r="E25" s="102" t="e">
        <f>H25*E23</f>
        <v>#REF!</v>
      </c>
      <c r="F25" s="102" t="e">
        <f>H25*F23</f>
        <v>#REF!</v>
      </c>
      <c r="G25" s="102">
        <f>J25*G23</f>
        <v>0</v>
      </c>
      <c r="H25" s="112" t="e">
        <f>#REF!</f>
        <v>#REF!</v>
      </c>
      <c r="I25" s="110"/>
    </row>
    <row r="26" spans="2:9" ht="11.25" customHeight="1">
      <c r="B26" s="87">
        <v>6</v>
      </c>
      <c r="C26" s="111" t="s">
        <v>117</v>
      </c>
      <c r="D26" s="90" t="s">
        <v>111</v>
      </c>
      <c r="E26" s="91">
        <v>0.5</v>
      </c>
      <c r="F26" s="91">
        <v>0.5</v>
      </c>
      <c r="G26" s="91">
        <v>0</v>
      </c>
      <c r="H26" s="92">
        <f>SUM(E26:G26)</f>
        <v>1</v>
      </c>
      <c r="I26" s="93"/>
    </row>
    <row r="27" spans="2:9" ht="6" customHeight="1">
      <c r="B27" s="94"/>
      <c r="C27" s="95"/>
      <c r="D27" s="107"/>
      <c r="E27" s="97"/>
      <c r="F27" s="97"/>
      <c r="G27" s="98"/>
      <c r="H27" s="99"/>
      <c r="I27" s="93"/>
    </row>
    <row r="28" spans="2:9" ht="11.25" customHeight="1">
      <c r="B28" s="82"/>
      <c r="C28" s="100"/>
      <c r="D28" s="101" t="s">
        <v>112</v>
      </c>
      <c r="E28" s="102" t="e">
        <f>H28*E26</f>
        <v>#REF!</v>
      </c>
      <c r="F28" s="102" t="e">
        <f>H28*F26</f>
        <v>#REF!</v>
      </c>
      <c r="G28" s="102">
        <f>J28*G26</f>
        <v>0</v>
      </c>
      <c r="H28" s="112" t="e">
        <f>#REF!</f>
        <v>#REF!</v>
      </c>
      <c r="I28" s="110"/>
    </row>
    <row r="29" spans="2:9" ht="11.25" customHeight="1">
      <c r="B29" s="87">
        <v>7</v>
      </c>
      <c r="C29" s="111" t="s">
        <v>118</v>
      </c>
      <c r="D29" s="90" t="s">
        <v>111</v>
      </c>
      <c r="E29" s="91">
        <v>0</v>
      </c>
      <c r="F29" s="91">
        <v>0.3</v>
      </c>
      <c r="G29" s="91">
        <v>0.7</v>
      </c>
      <c r="H29" s="92">
        <f>SUM(E29:G29)</f>
        <v>1</v>
      </c>
      <c r="I29" s="93"/>
    </row>
    <row r="30" spans="2:9" ht="6" customHeight="1">
      <c r="B30" s="94"/>
      <c r="C30" s="95"/>
      <c r="D30" s="107"/>
      <c r="E30" s="98"/>
      <c r="F30" s="97"/>
      <c r="G30" s="97"/>
      <c r="H30" s="99"/>
      <c r="I30" s="93"/>
    </row>
    <row r="31" spans="2:9" ht="11.25" customHeight="1">
      <c r="B31" s="82"/>
      <c r="C31" s="100"/>
      <c r="D31" s="101" t="s">
        <v>112</v>
      </c>
      <c r="E31" s="102" t="e">
        <f>H31*E29</f>
        <v>#REF!</v>
      </c>
      <c r="F31" s="102" t="e">
        <f>H31*F29</f>
        <v>#REF!</v>
      </c>
      <c r="G31" s="102" t="e">
        <f>H31*G29</f>
        <v>#REF!</v>
      </c>
      <c r="H31" s="112" t="e">
        <f>#REF!</f>
        <v>#REF!</v>
      </c>
      <c r="I31" s="110"/>
    </row>
    <row r="32" spans="2:9" ht="11.25" customHeight="1">
      <c r="B32" s="94">
        <v>8</v>
      </c>
      <c r="C32" s="105" t="s">
        <v>119</v>
      </c>
      <c r="D32" s="96" t="s">
        <v>111</v>
      </c>
      <c r="E32" s="91">
        <v>0</v>
      </c>
      <c r="F32" s="91">
        <v>0.3</v>
      </c>
      <c r="G32" s="91">
        <v>0.7</v>
      </c>
      <c r="H32" s="106">
        <f>SUM(E32:G32)</f>
        <v>1</v>
      </c>
      <c r="I32" s="93"/>
    </row>
    <row r="33" spans="2:9" ht="6" customHeight="1">
      <c r="B33" s="94"/>
      <c r="C33" s="95"/>
      <c r="D33" s="107"/>
      <c r="E33" s="98"/>
      <c r="F33" s="97"/>
      <c r="G33" s="97"/>
      <c r="H33" s="99"/>
      <c r="I33" s="93"/>
    </row>
    <row r="34" spans="2:9" ht="11.25" customHeight="1">
      <c r="B34" s="94"/>
      <c r="C34" s="95"/>
      <c r="D34" s="108" t="s">
        <v>112</v>
      </c>
      <c r="E34" s="102" t="e">
        <f>H34*E32</f>
        <v>#REF!</v>
      </c>
      <c r="F34" s="102" t="e">
        <f>H34*F32</f>
        <v>#REF!</v>
      </c>
      <c r="G34" s="102" t="e">
        <f>H34*G32</f>
        <v>#REF!</v>
      </c>
      <c r="H34" s="109" t="e">
        <f>#REF!</f>
        <v>#REF!</v>
      </c>
      <c r="I34" s="110"/>
    </row>
    <row r="35" spans="2:9" ht="11.25" customHeight="1">
      <c r="B35" s="113">
        <v>9</v>
      </c>
      <c r="C35" s="111" t="s">
        <v>120</v>
      </c>
      <c r="D35" s="90" t="s">
        <v>111</v>
      </c>
      <c r="E35" s="91">
        <v>0</v>
      </c>
      <c r="F35" s="91">
        <v>0.7</v>
      </c>
      <c r="G35" s="91">
        <v>0.3</v>
      </c>
      <c r="H35" s="92">
        <f>SUM(E35:G35)</f>
        <v>1</v>
      </c>
      <c r="I35" s="93"/>
    </row>
    <row r="36" spans="2:9" ht="6" customHeight="1">
      <c r="B36" s="114"/>
      <c r="C36" s="95"/>
      <c r="D36" s="107"/>
      <c r="E36" s="98"/>
      <c r="F36" s="97"/>
      <c r="G36" s="97"/>
      <c r="H36" s="99"/>
      <c r="I36" s="93"/>
    </row>
    <row r="37" spans="2:9" ht="11.25" customHeight="1">
      <c r="B37" s="81"/>
      <c r="C37" s="100"/>
      <c r="D37" s="101" t="s">
        <v>112</v>
      </c>
      <c r="E37" s="102" t="e">
        <f>H37*E35</f>
        <v>#REF!</v>
      </c>
      <c r="F37" s="102" t="e">
        <f>H37*F35</f>
        <v>#REF!</v>
      </c>
      <c r="G37" s="102" t="e">
        <f>H37*G35</f>
        <v>#REF!</v>
      </c>
      <c r="H37" s="112" t="e">
        <f>#REF!</f>
        <v>#REF!</v>
      </c>
      <c r="I37" s="115"/>
    </row>
    <row r="38" spans="2:9" ht="11.25" customHeight="1">
      <c r="B38" s="94">
        <v>10</v>
      </c>
      <c r="C38" s="105" t="s">
        <v>121</v>
      </c>
      <c r="D38" s="96" t="s">
        <v>111</v>
      </c>
      <c r="E38" s="91">
        <v>0</v>
      </c>
      <c r="F38" s="91">
        <v>1</v>
      </c>
      <c r="G38" s="91">
        <v>0</v>
      </c>
      <c r="H38" s="106">
        <f>SUM(E38:G38)</f>
        <v>1</v>
      </c>
      <c r="I38" s="93"/>
    </row>
    <row r="39" spans="2:9" ht="6" customHeight="1">
      <c r="B39" s="94"/>
      <c r="C39" s="95"/>
      <c r="D39" s="107"/>
      <c r="E39" s="98"/>
      <c r="F39" s="97"/>
      <c r="G39" s="98"/>
      <c r="H39" s="99"/>
      <c r="I39" s="93"/>
    </row>
    <row r="40" spans="2:9" ht="11.25" customHeight="1">
      <c r="B40" s="94"/>
      <c r="C40" s="95"/>
      <c r="D40" s="108" t="s">
        <v>112</v>
      </c>
      <c r="E40" s="102" t="e">
        <f>H40*E38</f>
        <v>#REF!</v>
      </c>
      <c r="F40" s="102" t="e">
        <f>H40*F38</f>
        <v>#REF!</v>
      </c>
      <c r="G40" s="102">
        <f>J40*G38</f>
        <v>0</v>
      </c>
      <c r="H40" s="109" t="e">
        <f>#REF!</f>
        <v>#REF!</v>
      </c>
      <c r="I40" s="110"/>
    </row>
    <row r="41" spans="2:9" ht="11.25" customHeight="1">
      <c r="B41" s="87">
        <v>11</v>
      </c>
      <c r="C41" s="89" t="s">
        <v>122</v>
      </c>
      <c r="D41" s="90" t="s">
        <v>111</v>
      </c>
      <c r="E41" s="91">
        <v>0</v>
      </c>
      <c r="F41" s="91">
        <v>0.8</v>
      </c>
      <c r="G41" s="91">
        <v>0.2</v>
      </c>
      <c r="H41" s="92">
        <f>SUM(E41:G41)</f>
        <v>1</v>
      </c>
      <c r="I41" s="93"/>
    </row>
    <row r="42" spans="2:9" ht="6" customHeight="1">
      <c r="B42" s="94"/>
      <c r="C42" s="95"/>
      <c r="D42" s="107"/>
      <c r="E42" s="98"/>
      <c r="F42" s="97"/>
      <c r="G42" s="97"/>
      <c r="H42" s="99"/>
      <c r="I42" s="93"/>
    </row>
    <row r="43" spans="2:9" ht="11.25" customHeight="1">
      <c r="B43" s="82"/>
      <c r="C43" s="100"/>
      <c r="D43" s="101" t="s">
        <v>112</v>
      </c>
      <c r="E43" s="102" t="e">
        <f>H43*E41</f>
        <v>#REF!</v>
      </c>
      <c r="F43" s="102" t="e">
        <f>H43*F41</f>
        <v>#REF!</v>
      </c>
      <c r="G43" s="102" t="e">
        <f>H43*G41</f>
        <v>#REF!</v>
      </c>
      <c r="H43" s="112" t="e">
        <f>#REF!</f>
        <v>#REF!</v>
      </c>
      <c r="I43" s="110"/>
    </row>
    <row r="44" spans="2:9" ht="11.25" customHeight="1">
      <c r="B44" s="87">
        <v>12</v>
      </c>
      <c r="C44" s="111" t="s">
        <v>123</v>
      </c>
      <c r="D44" s="90" t="s">
        <v>111</v>
      </c>
      <c r="E44" s="91">
        <v>0</v>
      </c>
      <c r="F44" s="91">
        <v>1</v>
      </c>
      <c r="G44" s="91">
        <v>0</v>
      </c>
      <c r="H44" s="92">
        <f>SUM(E44:G44)</f>
        <v>1</v>
      </c>
      <c r="I44" s="93"/>
    </row>
    <row r="45" spans="2:9" ht="6" customHeight="1">
      <c r="B45" s="94"/>
      <c r="C45" s="95"/>
      <c r="D45" s="107"/>
      <c r="E45" s="98"/>
      <c r="F45" s="97"/>
      <c r="G45" s="98"/>
      <c r="H45" s="99"/>
      <c r="I45" s="93"/>
    </row>
    <row r="46" spans="2:9" ht="11.25" customHeight="1">
      <c r="B46" s="82"/>
      <c r="C46" s="100"/>
      <c r="D46" s="101" t="s">
        <v>112</v>
      </c>
      <c r="E46" s="102" t="e">
        <f>H46*E44</f>
        <v>#REF!</v>
      </c>
      <c r="F46" s="102" t="e">
        <f>H46*F44</f>
        <v>#REF!</v>
      </c>
      <c r="G46" s="102">
        <f>J46*G44</f>
        <v>0</v>
      </c>
      <c r="H46" s="112" t="e">
        <f>#REF!</f>
        <v>#REF!</v>
      </c>
      <c r="I46" s="110"/>
    </row>
    <row r="47" spans="2:9" ht="11.25" customHeight="1">
      <c r="B47" s="94">
        <v>13</v>
      </c>
      <c r="C47" s="105" t="s">
        <v>124</v>
      </c>
      <c r="D47" s="96" t="s">
        <v>111</v>
      </c>
      <c r="E47" s="91">
        <v>0</v>
      </c>
      <c r="F47" s="91">
        <v>0</v>
      </c>
      <c r="G47" s="91">
        <v>1</v>
      </c>
      <c r="H47" s="106">
        <f>SUM(E47:G47)</f>
        <v>1</v>
      </c>
      <c r="I47" s="93"/>
    </row>
    <row r="48" spans="2:9" ht="6" customHeight="1">
      <c r="B48" s="94"/>
      <c r="C48" s="95"/>
      <c r="D48" s="107"/>
      <c r="E48" s="98"/>
      <c r="F48" s="98"/>
      <c r="G48" s="97"/>
      <c r="H48" s="99"/>
      <c r="I48" s="93"/>
    </row>
    <row r="49" spans="2:9" ht="11.25" customHeight="1">
      <c r="B49" s="94"/>
      <c r="C49" s="95"/>
      <c r="D49" s="108" t="s">
        <v>112</v>
      </c>
      <c r="E49" s="102" t="e">
        <f>H49*E47</f>
        <v>#REF!</v>
      </c>
      <c r="F49" s="102">
        <f>I49*F47</f>
        <v>0</v>
      </c>
      <c r="G49" s="102" t="e">
        <f>H49*G47</f>
        <v>#REF!</v>
      </c>
      <c r="H49" s="109" t="e">
        <f>#REF!</f>
        <v>#REF!</v>
      </c>
      <c r="I49" s="110"/>
    </row>
    <row r="50" spans="2:9" ht="11.25" customHeight="1">
      <c r="B50" s="87">
        <v>14</v>
      </c>
      <c r="C50" s="111" t="s">
        <v>125</v>
      </c>
      <c r="D50" s="90" t="s">
        <v>111</v>
      </c>
      <c r="E50" s="91">
        <v>0</v>
      </c>
      <c r="F50" s="91">
        <v>0</v>
      </c>
      <c r="G50" s="91">
        <v>1</v>
      </c>
      <c r="H50" s="92">
        <f>SUM(E50:G50)</f>
        <v>1</v>
      </c>
      <c r="I50" s="93"/>
    </row>
    <row r="51" spans="2:9" ht="6" customHeight="1">
      <c r="B51" s="94"/>
      <c r="C51" s="95"/>
      <c r="D51" s="107"/>
      <c r="E51" s="98"/>
      <c r="F51" s="98"/>
      <c r="G51" s="97"/>
      <c r="H51" s="99"/>
      <c r="I51" s="93"/>
    </row>
    <row r="52" spans="2:9" ht="11.25" customHeight="1">
      <c r="B52" s="82"/>
      <c r="C52" s="100"/>
      <c r="D52" s="101" t="s">
        <v>112</v>
      </c>
      <c r="E52" s="102" t="e">
        <f>H52*E50</f>
        <v>#REF!</v>
      </c>
      <c r="F52" s="102">
        <f>I52*F50</f>
        <v>0</v>
      </c>
      <c r="G52" s="102" t="e">
        <f>H52*G50</f>
        <v>#REF!</v>
      </c>
      <c r="H52" s="112" t="e">
        <f>#REF!</f>
        <v>#REF!</v>
      </c>
      <c r="I52" s="110"/>
    </row>
    <row r="53" spans="2:9" ht="11.25" customHeight="1">
      <c r="B53" s="87">
        <v>15</v>
      </c>
      <c r="C53" s="105" t="s">
        <v>126</v>
      </c>
      <c r="D53" s="90" t="s">
        <v>111</v>
      </c>
      <c r="E53" s="91">
        <v>0</v>
      </c>
      <c r="F53" s="91">
        <v>0.3</v>
      </c>
      <c r="G53" s="91">
        <v>0.7</v>
      </c>
      <c r="H53" s="92">
        <f>SUM(E53:G53)</f>
        <v>1</v>
      </c>
      <c r="I53" s="93"/>
    </row>
    <row r="54" spans="2:9" ht="6" customHeight="1">
      <c r="B54" s="94"/>
      <c r="C54" s="95"/>
      <c r="D54" s="107"/>
      <c r="E54" s="98"/>
      <c r="F54" s="97"/>
      <c r="G54" s="97"/>
      <c r="H54" s="116"/>
      <c r="I54" s="110"/>
    </row>
    <row r="55" spans="2:9" ht="11.25" customHeight="1">
      <c r="B55" s="82"/>
      <c r="C55" s="100"/>
      <c r="D55" s="101" t="s">
        <v>112</v>
      </c>
      <c r="E55" s="102" t="e">
        <f>H55*E53</f>
        <v>#REF!</v>
      </c>
      <c r="F55" s="102" t="e">
        <f>H55*F53</f>
        <v>#REF!</v>
      </c>
      <c r="G55" s="102" t="e">
        <f>H55*G53</f>
        <v>#REF!</v>
      </c>
      <c r="H55" s="112" t="e">
        <f>#REF!</f>
        <v>#REF!</v>
      </c>
      <c r="I55" s="110"/>
    </row>
    <row r="56" spans="2:9" ht="11.25" customHeight="1">
      <c r="B56" s="87">
        <v>16</v>
      </c>
      <c r="C56" s="105" t="s">
        <v>127</v>
      </c>
      <c r="D56" s="90" t="s">
        <v>111</v>
      </c>
      <c r="E56" s="91">
        <v>0</v>
      </c>
      <c r="F56" s="91">
        <v>0</v>
      </c>
      <c r="G56" s="91">
        <v>1</v>
      </c>
      <c r="H56" s="92">
        <f>SUM(E56:G56)</f>
        <v>1</v>
      </c>
      <c r="I56" s="93"/>
    </row>
    <row r="57" spans="2:9" ht="6" customHeight="1">
      <c r="B57" s="94"/>
      <c r="C57" s="95"/>
      <c r="D57" s="107"/>
      <c r="E57" s="98"/>
      <c r="F57" s="98"/>
      <c r="G57" s="97"/>
      <c r="H57" s="116"/>
      <c r="I57" s="110"/>
    </row>
    <row r="58" spans="2:9" ht="11.25" customHeight="1">
      <c r="B58" s="82"/>
      <c r="C58" s="100"/>
      <c r="D58" s="101" t="s">
        <v>112</v>
      </c>
      <c r="E58" s="102" t="e">
        <f>H58*E56</f>
        <v>#REF!</v>
      </c>
      <c r="F58" s="102">
        <f>I58*F56</f>
        <v>0</v>
      </c>
      <c r="G58" s="102" t="e">
        <f>H58*G56</f>
        <v>#REF!</v>
      </c>
      <c r="H58" s="112" t="e">
        <f>#REF!</f>
        <v>#REF!</v>
      </c>
      <c r="I58" s="110"/>
    </row>
    <row r="59" spans="2:9" ht="11.25" customHeight="1">
      <c r="B59" s="87">
        <v>17</v>
      </c>
      <c r="C59" s="105" t="s">
        <v>128</v>
      </c>
      <c r="D59" s="90" t="s">
        <v>111</v>
      </c>
      <c r="E59" s="91">
        <v>0</v>
      </c>
      <c r="F59" s="91">
        <v>0</v>
      </c>
      <c r="G59" s="91">
        <v>1</v>
      </c>
      <c r="H59" s="92">
        <f>SUM(E59:G59)</f>
        <v>1</v>
      </c>
      <c r="I59" s="93"/>
    </row>
    <row r="60" spans="2:9" ht="6" customHeight="1">
      <c r="B60" s="94"/>
      <c r="C60" s="95"/>
      <c r="D60" s="107"/>
      <c r="E60" s="98"/>
      <c r="F60" s="98"/>
      <c r="G60" s="97"/>
      <c r="H60" s="116"/>
      <c r="I60" s="110"/>
    </row>
    <row r="61" spans="2:9" ht="11.25" customHeight="1">
      <c r="B61" s="82"/>
      <c r="C61" s="100"/>
      <c r="D61" s="101" t="s">
        <v>112</v>
      </c>
      <c r="E61" s="102" t="e">
        <f>H61*E59</f>
        <v>#REF!</v>
      </c>
      <c r="F61" s="102">
        <f>I61*F59</f>
        <v>0</v>
      </c>
      <c r="G61" s="102" t="e">
        <f>H61*G59</f>
        <v>#REF!</v>
      </c>
      <c r="H61" s="112" t="e">
        <f>#REF!</f>
        <v>#REF!</v>
      </c>
      <c r="I61" s="110"/>
    </row>
    <row r="62" spans="2:9" ht="11.25" customHeight="1">
      <c r="B62" s="87">
        <v>18</v>
      </c>
      <c r="C62" s="105" t="s">
        <v>129</v>
      </c>
      <c r="D62" s="90" t="s">
        <v>111</v>
      </c>
      <c r="E62" s="91">
        <v>0</v>
      </c>
      <c r="F62" s="91">
        <v>0</v>
      </c>
      <c r="G62" s="91">
        <v>1</v>
      </c>
      <c r="H62" s="92">
        <f>SUM(E62:G62)</f>
        <v>1</v>
      </c>
      <c r="I62" s="93"/>
    </row>
    <row r="63" spans="2:9" ht="6" customHeight="1">
      <c r="B63" s="94"/>
      <c r="C63" s="95"/>
      <c r="D63" s="107"/>
      <c r="E63" s="98"/>
      <c r="F63" s="98"/>
      <c r="G63" s="97"/>
      <c r="H63" s="116"/>
      <c r="I63" s="110"/>
    </row>
    <row r="64" spans="2:9" ht="11.25" customHeight="1">
      <c r="B64" s="82"/>
      <c r="C64" s="100"/>
      <c r="D64" s="101" t="s">
        <v>112</v>
      </c>
      <c r="E64" s="102" t="e">
        <f>H64*E62</f>
        <v>#REF!</v>
      </c>
      <c r="F64" s="102">
        <f>I64*F62</f>
        <v>0</v>
      </c>
      <c r="G64" s="102" t="e">
        <f>H64*G62</f>
        <v>#REF!</v>
      </c>
      <c r="H64" s="112" t="e">
        <f>#REF!</f>
        <v>#REF!</v>
      </c>
      <c r="I64" s="110"/>
    </row>
    <row r="65" spans="2:9" ht="11.25" customHeight="1">
      <c r="B65" s="87">
        <v>19</v>
      </c>
      <c r="C65" s="105" t="s">
        <v>130</v>
      </c>
      <c r="D65" s="90" t="s">
        <v>111</v>
      </c>
      <c r="E65" s="91">
        <v>0</v>
      </c>
      <c r="F65" s="91">
        <v>0</v>
      </c>
      <c r="G65" s="91">
        <v>1</v>
      </c>
      <c r="H65" s="92">
        <f>SUM(E65:G65)</f>
        <v>1</v>
      </c>
      <c r="I65" s="93"/>
    </row>
    <row r="66" spans="2:9" ht="6" customHeight="1">
      <c r="B66" s="94"/>
      <c r="C66" s="95"/>
      <c r="D66" s="107"/>
      <c r="E66" s="98"/>
      <c r="F66" s="98"/>
      <c r="G66" s="97"/>
      <c r="H66" s="116"/>
      <c r="I66" s="110"/>
    </row>
    <row r="67" spans="2:9" ht="11.25" customHeight="1">
      <c r="B67" s="82"/>
      <c r="C67" s="100"/>
      <c r="D67" s="101" t="s">
        <v>112</v>
      </c>
      <c r="E67" s="102" t="e">
        <f>H67*E65</f>
        <v>#REF!</v>
      </c>
      <c r="F67" s="102">
        <f>I67*F65</f>
        <v>0</v>
      </c>
      <c r="G67" s="102" t="e">
        <f>H67*G65</f>
        <v>#REF!</v>
      </c>
      <c r="H67" s="112" t="e">
        <f>#REF!</f>
        <v>#REF!</v>
      </c>
      <c r="I67" s="110"/>
    </row>
    <row r="68" spans="2:9" ht="11.25" customHeight="1">
      <c r="B68" s="87">
        <v>20</v>
      </c>
      <c r="C68" s="105" t="s">
        <v>131</v>
      </c>
      <c r="D68" s="90" t="s">
        <v>111</v>
      </c>
      <c r="E68" s="91">
        <v>0</v>
      </c>
      <c r="F68" s="91">
        <v>0</v>
      </c>
      <c r="G68" s="91">
        <v>1</v>
      </c>
      <c r="H68" s="92">
        <f>SUM(E68:G68)</f>
        <v>1</v>
      </c>
      <c r="I68" s="93"/>
    </row>
    <row r="69" spans="2:9" ht="6" customHeight="1">
      <c r="B69" s="94"/>
      <c r="C69" s="95"/>
      <c r="D69" s="107"/>
      <c r="E69" s="98"/>
      <c r="F69" s="98"/>
      <c r="G69" s="97"/>
      <c r="H69" s="116"/>
      <c r="I69" s="110"/>
    </row>
    <row r="70" spans="2:9" ht="11.25" customHeight="1">
      <c r="B70" s="82"/>
      <c r="C70" s="100"/>
      <c r="D70" s="101" t="s">
        <v>112</v>
      </c>
      <c r="E70" s="102" t="e">
        <f>H70*E68</f>
        <v>#REF!</v>
      </c>
      <c r="F70" s="102">
        <f>I70*F68</f>
        <v>0</v>
      </c>
      <c r="G70" s="102" t="e">
        <f>H70*G68</f>
        <v>#REF!</v>
      </c>
      <c r="H70" s="112" t="e">
        <f>#REF!</f>
        <v>#REF!</v>
      </c>
      <c r="I70" s="110"/>
    </row>
    <row r="71" spans="2:9" ht="11.25" customHeight="1">
      <c r="B71" s="87">
        <v>21</v>
      </c>
      <c r="C71" s="105" t="s">
        <v>132</v>
      </c>
      <c r="D71" s="90" t="s">
        <v>111</v>
      </c>
      <c r="E71" s="91">
        <v>0</v>
      </c>
      <c r="F71" s="91">
        <v>0</v>
      </c>
      <c r="G71" s="91">
        <v>1</v>
      </c>
      <c r="H71" s="92">
        <f>SUM(E71:G71)</f>
        <v>1</v>
      </c>
      <c r="I71" s="93"/>
    </row>
    <row r="72" spans="2:9" ht="6" customHeight="1">
      <c r="B72" s="94"/>
      <c r="C72" s="95"/>
      <c r="D72" s="107"/>
      <c r="E72" s="98"/>
      <c r="F72" s="98"/>
      <c r="G72" s="97"/>
      <c r="H72" s="116"/>
      <c r="I72" s="110"/>
    </row>
    <row r="73" spans="2:9" ht="11.25" customHeight="1">
      <c r="B73" s="82"/>
      <c r="C73" s="100"/>
      <c r="D73" s="101" t="s">
        <v>112</v>
      </c>
      <c r="E73" s="102" t="e">
        <f>H73*E71</f>
        <v>#REF!</v>
      </c>
      <c r="F73" s="102">
        <f>I73*F71</f>
        <v>0</v>
      </c>
      <c r="G73" s="102" t="e">
        <f>H73*G71</f>
        <v>#REF!</v>
      </c>
      <c r="H73" s="112" t="e">
        <f>#REF!</f>
        <v>#REF!</v>
      </c>
      <c r="I73" s="110"/>
    </row>
    <row r="74" spans="2:9" ht="11.25" customHeight="1">
      <c r="B74" s="87">
        <v>22</v>
      </c>
      <c r="C74" s="105" t="s">
        <v>133</v>
      </c>
      <c r="D74" s="90" t="s">
        <v>111</v>
      </c>
      <c r="E74" s="91">
        <v>0</v>
      </c>
      <c r="F74" s="91">
        <v>0</v>
      </c>
      <c r="G74" s="91">
        <v>1</v>
      </c>
      <c r="H74" s="92">
        <f>SUM(E74:G74)</f>
        <v>1</v>
      </c>
      <c r="I74" s="93"/>
    </row>
    <row r="75" spans="2:9" ht="6" customHeight="1">
      <c r="B75" s="94"/>
      <c r="C75" s="95"/>
      <c r="D75" s="107"/>
      <c r="E75" s="98"/>
      <c r="F75" s="98"/>
      <c r="G75" s="97"/>
      <c r="H75" s="116"/>
      <c r="I75" s="110"/>
    </row>
    <row r="76" spans="2:9" ht="11.25" customHeight="1">
      <c r="B76" s="82"/>
      <c r="C76" s="100"/>
      <c r="D76" s="101" t="s">
        <v>112</v>
      </c>
      <c r="E76" s="102" t="e">
        <f>H76*E74</f>
        <v>#REF!</v>
      </c>
      <c r="F76" s="102">
        <f>I76*F74</f>
        <v>0</v>
      </c>
      <c r="G76" s="102" t="e">
        <f>H76*G74</f>
        <v>#REF!</v>
      </c>
      <c r="H76" s="112" t="e">
        <f>#REF!</f>
        <v>#REF!</v>
      </c>
      <c r="I76" s="110"/>
    </row>
    <row r="77" spans="2:9" ht="11.25" customHeight="1">
      <c r="B77" s="117" t="s">
        <v>134</v>
      </c>
      <c r="C77" s="118"/>
      <c r="D77" s="119"/>
      <c r="E77" s="120" t="e">
        <f>E79/H79</f>
        <v>#REF!</v>
      </c>
      <c r="F77" s="120" t="e">
        <f>F79/H79</f>
        <v>#REF!</v>
      </c>
      <c r="G77" s="120" t="e">
        <f>G79/H79</f>
        <v>#REF!</v>
      </c>
      <c r="H77" s="121"/>
      <c r="I77" s="122"/>
    </row>
    <row r="78" spans="2:9">
      <c r="B78" s="123" t="s">
        <v>135</v>
      </c>
      <c r="C78" s="124"/>
      <c r="D78" s="125"/>
      <c r="E78" s="126" t="e">
        <f>SUM(E77)</f>
        <v>#REF!</v>
      </c>
      <c r="F78" s="126" t="e">
        <f>SUM(F77)</f>
        <v>#REF!</v>
      </c>
      <c r="G78" s="126" t="e">
        <f>SUM(G77)</f>
        <v>#REF!</v>
      </c>
      <c r="H78" s="127"/>
      <c r="I78" s="104"/>
    </row>
    <row r="79" spans="2:9">
      <c r="B79" s="123" t="s">
        <v>136</v>
      </c>
      <c r="C79" s="124"/>
      <c r="D79" s="125"/>
      <c r="E79" s="128" t="e">
        <f>SUM(E13,E16,E19,E22,E25,E28,E31,E34,E37,E40,E43,E46,E49,E52,E55,E58,E61,E64,E67,E70,E73,E76)</f>
        <v>#REF!</v>
      </c>
      <c r="F79" s="128" t="e">
        <f>SUM(F13,F16,F19,F22,F25,F28,F31,F34,F37,F40,F43,F46,F49,F52,F55,F58,F61,F64,F67,F70,F73,F76)</f>
        <v>#REF!</v>
      </c>
      <c r="G79" s="128" t="e">
        <f>SUM(G13,G16,G19,G22,G25,G28,G31,G34,G37,G40,G43,G46,G49,G52,G55,G58,G61,G64,G67,G70,G73,G76)</f>
        <v>#REF!</v>
      </c>
      <c r="H79" s="129" t="e">
        <f>SUM(E79:G79)</f>
        <v>#REF!</v>
      </c>
      <c r="I79" s="130"/>
    </row>
    <row r="80" spans="2:9">
      <c r="B80" s="131" t="s">
        <v>137</v>
      </c>
      <c r="C80" s="132"/>
      <c r="D80" s="133"/>
      <c r="E80" s="128" t="e">
        <f>SUM(E79:E79)</f>
        <v>#REF!</v>
      </c>
      <c r="F80" s="128" t="e">
        <f>SUM(F79:F79)</f>
        <v>#REF!</v>
      </c>
      <c r="G80" s="128" t="e">
        <f>SUM(G79:G79)</f>
        <v>#REF!</v>
      </c>
      <c r="H80" s="129" t="e">
        <f>SUM(H13,H16,H19,H22,H25,H28,H31,H34,H37,H40,H43,H46,H49,H52,H55,H58,H61,H64,H67,H70,H73,H76)</f>
        <v>#REF!</v>
      </c>
      <c r="I80" s="130"/>
    </row>
    <row r="81" spans="2:9">
      <c r="B81" s="134" t="s">
        <v>138</v>
      </c>
      <c r="C81" s="135"/>
      <c r="D81" s="136"/>
      <c r="E81" s="137" t="e">
        <f>E80</f>
        <v>#REF!</v>
      </c>
      <c r="F81" s="137" t="e">
        <f>F80</f>
        <v>#REF!</v>
      </c>
      <c r="G81" s="137" t="e">
        <f>G80</f>
        <v>#REF!</v>
      </c>
      <c r="H81" s="138"/>
      <c r="I81" s="139"/>
    </row>
  </sheetData>
  <mergeCells count="9">
    <mergeCell ref="B7:H7"/>
    <mergeCell ref="B8:H8"/>
    <mergeCell ref="C9:D9"/>
    <mergeCell ref="E9:G9"/>
    <mergeCell ref="B2:H2"/>
    <mergeCell ref="B3:H3"/>
    <mergeCell ref="B4:H4"/>
    <mergeCell ref="B5:H5"/>
    <mergeCell ref="B6:H6"/>
  </mergeCells>
  <printOptions horizontalCentered="1"/>
  <pageMargins left="0.51180555555555496" right="0.51180555555555496" top="0.31527777777777799" bottom="0.31527777777777799" header="0.51180555555555496" footer="0.51180555555555496"/>
  <pageSetup paperSize="9" scale="64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J69"/>
  <sheetViews>
    <sheetView showGridLines="0" showZeros="0" view="pageBreakPreview" zoomScaleNormal="100" workbookViewId="0">
      <selection activeCell="C36" sqref="C36"/>
    </sheetView>
  </sheetViews>
  <sheetFormatPr defaultColWidth="11.28515625" defaultRowHeight="12.75"/>
  <cols>
    <col min="1" max="1" width="9.140625" style="140" customWidth="1"/>
    <col min="2" max="2" width="7.7109375" style="140" customWidth="1"/>
    <col min="3" max="3" width="51.28515625" style="140" customWidth="1"/>
    <col min="4" max="4" width="5.7109375" style="140" customWidth="1"/>
    <col min="5" max="5" width="10.28515625" style="140" customWidth="1"/>
    <col min="6" max="6" width="15" style="140" customWidth="1"/>
    <col min="7" max="7" width="14" style="140" customWidth="1"/>
    <col min="8" max="1024" width="11.28515625" style="140"/>
  </cols>
  <sheetData>
    <row r="1" spans="1:7" ht="18" customHeight="1"/>
    <row r="2" spans="1:7" ht="18" customHeight="1"/>
    <row r="3" spans="1:7" ht="18" customHeight="1">
      <c r="A3" s="141"/>
      <c r="B3" s="141"/>
      <c r="C3" s="141"/>
    </row>
    <row r="4" spans="1:7" ht="21" customHeight="1">
      <c r="A4" s="420" t="s">
        <v>139</v>
      </c>
      <c r="B4" s="420"/>
      <c r="C4" s="420"/>
      <c r="D4" s="421" t="s">
        <v>140</v>
      </c>
      <c r="E4" s="421"/>
      <c r="F4" s="421"/>
      <c r="G4" s="421"/>
    </row>
    <row r="5" spans="1:7" ht="21" customHeight="1">
      <c r="A5" s="420"/>
      <c r="B5" s="420"/>
      <c r="C5" s="420"/>
      <c r="D5" s="422" t="s">
        <v>141</v>
      </c>
      <c r="E5" s="422"/>
      <c r="F5" s="422"/>
      <c r="G5" s="422"/>
    </row>
    <row r="6" spans="1:7" ht="18" customHeight="1">
      <c r="A6" s="423" t="s">
        <v>142</v>
      </c>
      <c r="B6" s="421" t="s">
        <v>1</v>
      </c>
      <c r="C6" s="421" t="s">
        <v>143</v>
      </c>
      <c r="D6" s="421" t="s">
        <v>144</v>
      </c>
      <c r="E6" s="421" t="s">
        <v>145</v>
      </c>
      <c r="F6" s="421" t="s">
        <v>146</v>
      </c>
      <c r="G6" s="421" t="s">
        <v>109</v>
      </c>
    </row>
    <row r="7" spans="1:7" ht="18" customHeight="1">
      <c r="A7" s="423"/>
      <c r="B7" s="421"/>
      <c r="C7" s="421"/>
      <c r="D7" s="421"/>
      <c r="E7" s="421"/>
      <c r="F7" s="421"/>
      <c r="G7" s="421"/>
    </row>
    <row r="8" spans="1:7" ht="44.25" customHeight="1">
      <c r="A8" s="143"/>
      <c r="B8" s="144" t="s">
        <v>147</v>
      </c>
      <c r="C8" s="145" t="s">
        <v>148</v>
      </c>
      <c r="D8" s="145"/>
      <c r="E8" s="145"/>
      <c r="F8" s="145"/>
      <c r="G8" s="145"/>
    </row>
    <row r="9" spans="1:7" ht="21" customHeight="1">
      <c r="A9" s="146"/>
      <c r="B9" s="147"/>
      <c r="C9" s="148"/>
      <c r="D9" s="148"/>
      <c r="E9" s="148"/>
      <c r="F9" s="148"/>
      <c r="G9" s="148"/>
    </row>
    <row r="10" spans="1:7" ht="15" customHeight="1">
      <c r="A10" s="149"/>
      <c r="B10" s="150" t="s">
        <v>8</v>
      </c>
      <c r="C10" s="151" t="s">
        <v>149</v>
      </c>
      <c r="D10" s="152"/>
      <c r="E10" s="153"/>
      <c r="F10" s="153"/>
      <c r="G10" s="153"/>
    </row>
    <row r="11" spans="1:7">
      <c r="A11" s="154"/>
      <c r="B11" s="152" t="s">
        <v>150</v>
      </c>
      <c r="C11" s="155" t="s">
        <v>151</v>
      </c>
      <c r="D11" s="156"/>
      <c r="E11" s="157"/>
      <c r="F11" s="158"/>
      <c r="G11" s="158"/>
    </row>
    <row r="12" spans="1:7">
      <c r="A12" s="154"/>
      <c r="B12" s="152" t="s">
        <v>152</v>
      </c>
      <c r="C12" s="159" t="s">
        <v>153</v>
      </c>
      <c r="D12" s="160" t="s">
        <v>154</v>
      </c>
      <c r="E12" s="161">
        <v>31</v>
      </c>
      <c r="F12" s="161">
        <f>175*1.03</f>
        <v>180.25</v>
      </c>
      <c r="G12" s="161">
        <f t="shared" ref="G12:G18" si="0">E12*F12</f>
        <v>5587.75</v>
      </c>
    </row>
    <row r="13" spans="1:7">
      <c r="A13" s="154"/>
      <c r="B13" s="152" t="s">
        <v>155</v>
      </c>
      <c r="C13" s="159" t="s">
        <v>156</v>
      </c>
      <c r="D13" s="160" t="s">
        <v>154</v>
      </c>
      <c r="E13" s="161">
        <v>138</v>
      </c>
      <c r="F13" s="161">
        <f>160*1.03</f>
        <v>164.8</v>
      </c>
      <c r="G13" s="161">
        <f t="shared" si="0"/>
        <v>22742.400000000001</v>
      </c>
    </row>
    <row r="14" spans="1:7">
      <c r="A14" s="154"/>
      <c r="B14" s="152" t="s">
        <v>157</v>
      </c>
      <c r="C14" s="159" t="s">
        <v>158</v>
      </c>
      <c r="D14" s="160" t="s">
        <v>154</v>
      </c>
      <c r="E14" s="161">
        <v>39</v>
      </c>
      <c r="F14" s="161">
        <f>160*1.03</f>
        <v>164.8</v>
      </c>
      <c r="G14" s="161">
        <f t="shared" si="0"/>
        <v>6427.2000000000007</v>
      </c>
    </row>
    <row r="15" spans="1:7">
      <c r="A15" s="154"/>
      <c r="B15" s="152" t="s">
        <v>159</v>
      </c>
      <c r="C15" s="159" t="s">
        <v>160</v>
      </c>
      <c r="D15" s="160" t="s">
        <v>154</v>
      </c>
      <c r="E15" s="161">
        <v>17</v>
      </c>
      <c r="F15" s="161">
        <f>170*1.03</f>
        <v>175.1</v>
      </c>
      <c r="G15" s="161">
        <f t="shared" si="0"/>
        <v>2976.7</v>
      </c>
    </row>
    <row r="16" spans="1:7">
      <c r="A16" s="154"/>
      <c r="B16" s="152" t="s">
        <v>161</v>
      </c>
      <c r="C16" s="159" t="s">
        <v>162</v>
      </c>
      <c r="D16" s="160" t="s">
        <v>154</v>
      </c>
      <c r="E16" s="161">
        <v>8</v>
      </c>
      <c r="F16" s="161">
        <f>170*1.03</f>
        <v>175.1</v>
      </c>
      <c r="G16" s="161">
        <f t="shared" si="0"/>
        <v>1400.8</v>
      </c>
    </row>
    <row r="17" spans="1:7">
      <c r="A17" s="154"/>
      <c r="B17" s="152" t="s">
        <v>163</v>
      </c>
      <c r="C17" s="159" t="s">
        <v>164</v>
      </c>
      <c r="D17" s="160" t="s">
        <v>165</v>
      </c>
      <c r="E17" s="161">
        <v>13.5</v>
      </c>
      <c r="F17" s="161">
        <f>250*1.03</f>
        <v>257.5</v>
      </c>
      <c r="G17" s="161">
        <f t="shared" si="0"/>
        <v>3476.25</v>
      </c>
    </row>
    <row r="18" spans="1:7">
      <c r="A18" s="154"/>
      <c r="B18" s="152" t="s">
        <v>166</v>
      </c>
      <c r="C18" s="159" t="s">
        <v>167</v>
      </c>
      <c r="D18" s="160" t="s">
        <v>165</v>
      </c>
      <c r="E18" s="161">
        <v>213</v>
      </c>
      <c r="F18" s="161">
        <f>250*1.03</f>
        <v>257.5</v>
      </c>
      <c r="G18" s="161">
        <f t="shared" si="0"/>
        <v>54847.5</v>
      </c>
    </row>
    <row r="19" spans="1:7" ht="14.25" customHeight="1">
      <c r="A19" s="154"/>
      <c r="B19" s="424" t="s">
        <v>168</v>
      </c>
      <c r="C19" s="424"/>
      <c r="D19" s="424"/>
      <c r="E19" s="424"/>
      <c r="F19" s="425">
        <f>SUM(G12:G18)</f>
        <v>97458.6</v>
      </c>
      <c r="G19" s="425"/>
    </row>
    <row r="20" spans="1:7" ht="15" customHeight="1">
      <c r="A20" s="154"/>
      <c r="B20" s="424"/>
      <c r="C20" s="424"/>
      <c r="D20" s="424"/>
      <c r="E20" s="424"/>
      <c r="F20" s="425"/>
      <c r="G20" s="425"/>
    </row>
    <row r="21" spans="1:7" ht="14.25" customHeight="1">
      <c r="A21" s="154"/>
      <c r="B21" s="150"/>
      <c r="C21" s="155"/>
      <c r="D21" s="156"/>
      <c r="E21" s="162"/>
      <c r="F21" s="163"/>
      <c r="G21" s="163"/>
    </row>
    <row r="22" spans="1:7" ht="15" customHeight="1">
      <c r="A22" s="154"/>
      <c r="B22" s="150" t="s">
        <v>10</v>
      </c>
      <c r="C22" s="151" t="s">
        <v>169</v>
      </c>
      <c r="D22" s="156"/>
      <c r="E22" s="157"/>
      <c r="F22" s="158"/>
      <c r="G22" s="158">
        <f t="shared" ref="G22:G40" si="1">E22*F22</f>
        <v>0</v>
      </c>
    </row>
    <row r="23" spans="1:7" ht="15" customHeight="1">
      <c r="A23" s="154"/>
      <c r="B23" s="152" t="s">
        <v>170</v>
      </c>
      <c r="C23" s="159" t="s">
        <v>171</v>
      </c>
      <c r="D23" s="160" t="s">
        <v>165</v>
      </c>
      <c r="E23" s="161">
        <v>482</v>
      </c>
      <c r="F23" s="161">
        <f>20*1.03</f>
        <v>20.6</v>
      </c>
      <c r="G23" s="161">
        <f t="shared" si="1"/>
        <v>9929.2000000000007</v>
      </c>
    </row>
    <row r="24" spans="1:7" ht="15" customHeight="1">
      <c r="A24" s="154"/>
      <c r="B24" s="152" t="s">
        <v>172</v>
      </c>
      <c r="C24" s="159" t="s">
        <v>173</v>
      </c>
      <c r="D24" s="160" t="s">
        <v>165</v>
      </c>
      <c r="E24" s="161">
        <v>118</v>
      </c>
      <c r="F24" s="161">
        <f>18*1.03</f>
        <v>18.54</v>
      </c>
      <c r="G24" s="161">
        <f t="shared" si="1"/>
        <v>2187.7199999999998</v>
      </c>
    </row>
    <row r="25" spans="1:7" ht="15" customHeight="1">
      <c r="A25" s="154"/>
      <c r="B25" s="152" t="s">
        <v>174</v>
      </c>
      <c r="C25" s="159" t="s">
        <v>175</v>
      </c>
      <c r="D25" s="160" t="s">
        <v>165</v>
      </c>
      <c r="E25" s="161">
        <v>58.75</v>
      </c>
      <c r="F25" s="161">
        <f>18*1.03</f>
        <v>18.54</v>
      </c>
      <c r="G25" s="161">
        <f t="shared" si="1"/>
        <v>1089.2249999999999</v>
      </c>
    </row>
    <row r="26" spans="1:7" ht="15" customHeight="1">
      <c r="A26" s="154"/>
      <c r="B26" s="152" t="s">
        <v>176</v>
      </c>
      <c r="C26" s="159" t="s">
        <v>177</v>
      </c>
      <c r="D26" s="160" t="s">
        <v>165</v>
      </c>
      <c r="E26" s="161">
        <v>119</v>
      </c>
      <c r="F26" s="161">
        <f>18*1.03</f>
        <v>18.54</v>
      </c>
      <c r="G26" s="161">
        <f t="shared" si="1"/>
        <v>2206.2599999999998</v>
      </c>
    </row>
    <row r="27" spans="1:7" ht="15" customHeight="1">
      <c r="A27" s="154"/>
      <c r="B27" s="152" t="s">
        <v>178</v>
      </c>
      <c r="C27" s="159" t="s">
        <v>179</v>
      </c>
      <c r="D27" s="160" t="s">
        <v>165</v>
      </c>
      <c r="E27" s="161">
        <v>705</v>
      </c>
      <c r="F27" s="161">
        <f>18*1.03</f>
        <v>18.54</v>
      </c>
      <c r="G27" s="161">
        <f t="shared" si="1"/>
        <v>13070.699999999999</v>
      </c>
    </row>
    <row r="28" spans="1:7" ht="15" customHeight="1">
      <c r="A28" s="154"/>
      <c r="B28" s="152" t="s">
        <v>180</v>
      </c>
      <c r="C28" s="159" t="s">
        <v>181</v>
      </c>
      <c r="D28" s="160" t="s">
        <v>165</v>
      </c>
      <c r="E28" s="161">
        <v>176</v>
      </c>
      <c r="F28" s="161">
        <f>18*1.03</f>
        <v>18.54</v>
      </c>
      <c r="G28" s="161">
        <f t="shared" si="1"/>
        <v>3263.04</v>
      </c>
    </row>
    <row r="29" spans="1:7" ht="15" customHeight="1">
      <c r="A29" s="154"/>
      <c r="B29" s="152" t="s">
        <v>182</v>
      </c>
      <c r="C29" s="159" t="s">
        <v>183</v>
      </c>
      <c r="D29" s="160" t="s">
        <v>165</v>
      </c>
      <c r="E29" s="161">
        <v>80</v>
      </c>
      <c r="F29" s="161">
        <f>20*1.03</f>
        <v>20.6</v>
      </c>
      <c r="G29" s="161">
        <f t="shared" si="1"/>
        <v>1648</v>
      </c>
    </row>
    <row r="30" spans="1:7" ht="15" customHeight="1">
      <c r="A30" s="154"/>
      <c r="B30" s="152" t="s">
        <v>184</v>
      </c>
      <c r="C30" s="159" t="s">
        <v>185</v>
      </c>
      <c r="D30" s="160" t="s">
        <v>165</v>
      </c>
      <c r="E30" s="161">
        <v>19.2</v>
      </c>
      <c r="F30" s="161">
        <f>18*1.03</f>
        <v>18.54</v>
      </c>
      <c r="G30" s="161">
        <f t="shared" si="1"/>
        <v>355.96799999999996</v>
      </c>
    </row>
    <row r="31" spans="1:7" ht="15" customHeight="1">
      <c r="A31" s="154"/>
      <c r="B31" s="152" t="s">
        <v>186</v>
      </c>
      <c r="C31" s="159" t="s">
        <v>187</v>
      </c>
      <c r="D31" s="160" t="s">
        <v>165</v>
      </c>
      <c r="E31" s="161">
        <v>40.799999999999997</v>
      </c>
      <c r="F31" s="161">
        <f>18*1.03</f>
        <v>18.54</v>
      </c>
      <c r="G31" s="161">
        <f t="shared" si="1"/>
        <v>756.4319999999999</v>
      </c>
    </row>
    <row r="32" spans="1:7" ht="15" customHeight="1">
      <c r="A32" s="154"/>
      <c r="B32" s="152" t="s">
        <v>188</v>
      </c>
      <c r="C32" s="159" t="s">
        <v>189</v>
      </c>
      <c r="D32" s="160" t="s">
        <v>165</v>
      </c>
      <c r="E32" s="161">
        <v>73.5</v>
      </c>
      <c r="F32" s="161">
        <f>20*1.03</f>
        <v>20.6</v>
      </c>
      <c r="G32" s="161">
        <f t="shared" si="1"/>
        <v>1514.1000000000001</v>
      </c>
    </row>
    <row r="33" spans="1:7" ht="15" customHeight="1">
      <c r="A33" s="154"/>
      <c r="B33" s="152" t="s">
        <v>190</v>
      </c>
      <c r="C33" s="159" t="s">
        <v>191</v>
      </c>
      <c r="D33" s="160" t="s">
        <v>165</v>
      </c>
      <c r="E33" s="161">
        <v>75.599999999999994</v>
      </c>
      <c r="F33" s="161">
        <f>20*1.03</f>
        <v>20.6</v>
      </c>
      <c r="G33" s="161">
        <f t="shared" si="1"/>
        <v>1557.36</v>
      </c>
    </row>
    <row r="34" spans="1:7" ht="15" customHeight="1">
      <c r="A34" s="154"/>
      <c r="B34" s="152" t="s">
        <v>192</v>
      </c>
      <c r="C34" s="159" t="s">
        <v>193</v>
      </c>
      <c r="D34" s="160" t="s">
        <v>165</v>
      </c>
      <c r="E34" s="161">
        <v>116</v>
      </c>
      <c r="F34" s="161">
        <f>20*1.03</f>
        <v>20.6</v>
      </c>
      <c r="G34" s="161">
        <f t="shared" si="1"/>
        <v>2389.6000000000004</v>
      </c>
    </row>
    <row r="35" spans="1:7" ht="15" customHeight="1">
      <c r="A35" s="154"/>
      <c r="B35" s="152" t="s">
        <v>194</v>
      </c>
      <c r="C35" s="159" t="s">
        <v>195</v>
      </c>
      <c r="D35" s="160" t="s">
        <v>165</v>
      </c>
      <c r="E35" s="161">
        <v>48</v>
      </c>
      <c r="F35" s="161">
        <f>20*1.03</f>
        <v>20.6</v>
      </c>
      <c r="G35" s="161">
        <f t="shared" si="1"/>
        <v>988.80000000000007</v>
      </c>
    </row>
    <row r="36" spans="1:7" ht="15" customHeight="1">
      <c r="A36" s="154"/>
      <c r="B36" s="152" t="s">
        <v>196</v>
      </c>
      <c r="C36" s="159" t="s">
        <v>197</v>
      </c>
      <c r="D36" s="160" t="s">
        <v>165</v>
      </c>
      <c r="E36" s="161">
        <v>37.5</v>
      </c>
      <c r="F36" s="161">
        <f>20*1.03</f>
        <v>20.6</v>
      </c>
      <c r="G36" s="161">
        <f t="shared" si="1"/>
        <v>772.5</v>
      </c>
    </row>
    <row r="37" spans="1:7" ht="15" customHeight="1">
      <c r="A37" s="154"/>
      <c r="B37" s="152" t="s">
        <v>198</v>
      </c>
      <c r="C37" s="159" t="s">
        <v>199</v>
      </c>
      <c r="D37" s="160" t="s">
        <v>165</v>
      </c>
      <c r="E37" s="161">
        <v>9.1999999999999993</v>
      </c>
      <c r="F37" s="161">
        <f>18*1.03</f>
        <v>18.54</v>
      </c>
      <c r="G37" s="161">
        <f t="shared" si="1"/>
        <v>170.56799999999998</v>
      </c>
    </row>
    <row r="38" spans="1:7" ht="15" customHeight="1">
      <c r="A38" s="154"/>
      <c r="B38" s="152" t="s">
        <v>200</v>
      </c>
      <c r="C38" s="159" t="s">
        <v>201</v>
      </c>
      <c r="D38" s="160" t="s">
        <v>165</v>
      </c>
      <c r="E38" s="161">
        <v>15.4</v>
      </c>
      <c r="F38" s="161">
        <f>18*1.03</f>
        <v>18.54</v>
      </c>
      <c r="G38" s="161">
        <f t="shared" si="1"/>
        <v>285.51600000000002</v>
      </c>
    </row>
    <row r="39" spans="1:7" ht="15" customHeight="1">
      <c r="A39" s="154"/>
      <c r="B39" s="152" t="s">
        <v>202</v>
      </c>
      <c r="C39" s="159" t="s">
        <v>203</v>
      </c>
      <c r="D39" s="160" t="s">
        <v>165</v>
      </c>
      <c r="E39" s="161">
        <v>300</v>
      </c>
      <c r="F39" s="161">
        <f>28*1.03</f>
        <v>28.84</v>
      </c>
      <c r="G39" s="161">
        <f t="shared" si="1"/>
        <v>8652</v>
      </c>
    </row>
    <row r="40" spans="1:7" ht="15" customHeight="1">
      <c r="A40" s="154"/>
      <c r="B40" s="152" t="s">
        <v>204</v>
      </c>
      <c r="C40" s="159" t="s">
        <v>205</v>
      </c>
      <c r="D40" s="160" t="s">
        <v>154</v>
      </c>
      <c r="E40" s="161">
        <v>200</v>
      </c>
      <c r="F40" s="161">
        <f>35*1.03</f>
        <v>36.050000000000004</v>
      </c>
      <c r="G40" s="161">
        <f t="shared" si="1"/>
        <v>7210.0000000000009</v>
      </c>
    </row>
    <row r="41" spans="1:7">
      <c r="A41" s="154"/>
      <c r="B41" s="426" t="s">
        <v>206</v>
      </c>
      <c r="C41" s="426"/>
      <c r="D41" s="426"/>
      <c r="E41" s="426"/>
      <c r="F41" s="427">
        <f>SUM(G23:G40)</f>
        <v>58046.989000000009</v>
      </c>
      <c r="G41" s="427"/>
    </row>
    <row r="42" spans="1:7">
      <c r="A42" s="154"/>
      <c r="B42" s="426"/>
      <c r="C42" s="426"/>
      <c r="D42" s="426"/>
      <c r="E42" s="426"/>
      <c r="F42" s="427"/>
      <c r="G42" s="427"/>
    </row>
    <row r="43" spans="1:7">
      <c r="A43" s="154"/>
      <c r="B43" s="164"/>
      <c r="C43" s="164"/>
      <c r="D43" s="164"/>
      <c r="E43" s="164"/>
      <c r="F43" s="165"/>
      <c r="G43" s="165"/>
    </row>
    <row r="44" spans="1:7">
      <c r="A44" s="154"/>
      <c r="B44" s="150" t="s">
        <v>12</v>
      </c>
      <c r="C44" s="151" t="s">
        <v>207</v>
      </c>
      <c r="D44" s="156"/>
      <c r="E44" s="157"/>
      <c r="F44" s="158"/>
      <c r="G44" s="158">
        <f>E44*F44</f>
        <v>0</v>
      </c>
    </row>
    <row r="45" spans="1:7">
      <c r="A45" s="154"/>
      <c r="B45" s="152" t="s">
        <v>208</v>
      </c>
      <c r="C45" s="159" t="s">
        <v>209</v>
      </c>
      <c r="D45" s="160" t="s">
        <v>154</v>
      </c>
      <c r="E45" s="161">
        <v>8</v>
      </c>
      <c r="F45" s="161">
        <f>2000*1.03</f>
        <v>2060</v>
      </c>
      <c r="G45" s="161">
        <f>E45*F45</f>
        <v>16480</v>
      </c>
    </row>
    <row r="46" spans="1:7">
      <c r="A46" s="154"/>
      <c r="B46" s="152" t="s">
        <v>210</v>
      </c>
      <c r="C46" s="159" t="s">
        <v>211</v>
      </c>
      <c r="D46" s="160" t="s">
        <v>154</v>
      </c>
      <c r="E46" s="161">
        <v>8</v>
      </c>
      <c r="F46" s="161">
        <f>1200*1.03</f>
        <v>1236</v>
      </c>
      <c r="G46" s="161">
        <f>E46*F46</f>
        <v>9888</v>
      </c>
    </row>
    <row r="47" spans="1:7" ht="15" customHeight="1">
      <c r="A47" s="428"/>
      <c r="B47" s="426" t="s">
        <v>212</v>
      </c>
      <c r="C47" s="426"/>
      <c r="D47" s="426"/>
      <c r="E47" s="426"/>
      <c r="F47" s="429">
        <f>SUM(G44:G46)</f>
        <v>26368</v>
      </c>
      <c r="G47" s="429"/>
    </row>
    <row r="48" spans="1:7" ht="15" customHeight="1">
      <c r="A48" s="428"/>
      <c r="B48" s="426"/>
      <c r="C48" s="426"/>
      <c r="D48" s="426"/>
      <c r="E48" s="426"/>
      <c r="F48" s="429"/>
      <c r="G48" s="429"/>
    </row>
    <row r="49" spans="1:7" ht="29.25" customHeight="1">
      <c r="A49" s="428"/>
      <c r="B49" s="426" t="s">
        <v>213</v>
      </c>
      <c r="C49" s="426"/>
      <c r="D49" s="426"/>
      <c r="E49" s="426"/>
      <c r="F49" s="430">
        <f>SUM(F41,F19,F47)</f>
        <v>181873.58900000001</v>
      </c>
      <c r="G49" s="430"/>
    </row>
    <row r="50" spans="1:7" ht="17.25" customHeight="1">
      <c r="A50" s="141"/>
      <c r="B50" s="166"/>
      <c r="C50" s="167"/>
      <c r="D50" s="166"/>
      <c r="E50" s="168"/>
      <c r="F50" s="169"/>
      <c r="G50" s="169"/>
    </row>
    <row r="51" spans="1:7" ht="17.25" customHeight="1">
      <c r="B51" s="166"/>
      <c r="C51" s="167"/>
      <c r="D51" s="166"/>
      <c r="E51" s="168"/>
      <c r="F51" s="169"/>
      <c r="G51" s="169"/>
    </row>
    <row r="52" spans="1:7" ht="32.25" customHeight="1">
      <c r="B52" s="166"/>
      <c r="C52" s="170"/>
      <c r="D52" s="166"/>
      <c r="E52" s="168"/>
      <c r="F52" s="169"/>
      <c r="G52" s="169"/>
    </row>
    <row r="53" spans="1:7" ht="17.25" customHeight="1">
      <c r="B53" s="166"/>
      <c r="C53" s="167"/>
      <c r="D53" s="166"/>
      <c r="E53" s="168"/>
      <c r="F53" s="169"/>
      <c r="G53" s="169"/>
    </row>
    <row r="54" spans="1:7" ht="17.25" customHeight="1">
      <c r="B54" s="166"/>
      <c r="C54" s="167"/>
      <c r="D54" s="166"/>
      <c r="E54" s="168"/>
      <c r="F54" s="169"/>
      <c r="G54" s="169"/>
    </row>
    <row r="55" spans="1:7">
      <c r="B55" s="171"/>
      <c r="C55" s="171"/>
      <c r="D55" s="171"/>
      <c r="E55" s="171"/>
    </row>
    <row r="56" spans="1:7">
      <c r="B56" s="171"/>
      <c r="C56" s="171"/>
      <c r="D56" s="171"/>
      <c r="E56" s="171"/>
    </row>
    <row r="57" spans="1:7">
      <c r="B57" s="171"/>
      <c r="C57" s="171"/>
      <c r="D57" s="171"/>
      <c r="E57" s="171"/>
    </row>
    <row r="58" spans="1:7">
      <c r="B58" s="171"/>
      <c r="C58" s="171"/>
      <c r="D58" s="171"/>
      <c r="E58" s="171"/>
    </row>
    <row r="59" spans="1:7">
      <c r="B59" s="171"/>
      <c r="C59" s="171"/>
      <c r="D59" s="171"/>
      <c r="E59" s="171"/>
    </row>
    <row r="60" spans="1:7">
      <c r="B60" s="171"/>
      <c r="C60" s="171"/>
      <c r="D60" s="171"/>
      <c r="E60" s="171"/>
    </row>
    <row r="61" spans="1:7">
      <c r="B61" s="171"/>
      <c r="C61" s="171"/>
      <c r="D61" s="171"/>
      <c r="E61" s="171"/>
    </row>
    <row r="62" spans="1:7">
      <c r="B62" s="171"/>
      <c r="C62" s="171"/>
      <c r="D62" s="171"/>
      <c r="E62" s="171"/>
    </row>
    <row r="63" spans="1:7">
      <c r="B63" s="171"/>
      <c r="C63" s="171"/>
      <c r="D63" s="171"/>
      <c r="E63" s="171"/>
    </row>
    <row r="64" spans="1:7">
      <c r="B64" s="171"/>
      <c r="C64" s="171"/>
      <c r="D64" s="171"/>
      <c r="E64" s="171"/>
    </row>
    <row r="65" spans="2:5">
      <c r="B65" s="171"/>
      <c r="C65" s="171"/>
      <c r="D65" s="171"/>
      <c r="E65" s="171"/>
    </row>
    <row r="66" spans="2:5">
      <c r="B66" s="171"/>
      <c r="C66" s="171"/>
      <c r="D66" s="171"/>
      <c r="E66" s="171"/>
    </row>
    <row r="67" spans="2:5">
      <c r="B67" s="171"/>
      <c r="C67" s="171"/>
      <c r="D67" s="171"/>
      <c r="E67" s="171"/>
    </row>
    <row r="68" spans="2:5">
      <c r="B68" s="171"/>
      <c r="C68" s="171"/>
      <c r="D68" s="171"/>
      <c r="E68" s="171"/>
    </row>
    <row r="69" spans="2:5">
      <c r="B69" s="171"/>
      <c r="C69" s="171"/>
      <c r="D69" s="171"/>
      <c r="E69" s="171"/>
    </row>
  </sheetData>
  <mergeCells count="19">
    <mergeCell ref="B19:E20"/>
    <mergeCell ref="F19:G20"/>
    <mergeCell ref="B41:E42"/>
    <mergeCell ref="F41:G42"/>
    <mergeCell ref="A47:A49"/>
    <mergeCell ref="B47:E48"/>
    <mergeCell ref="F47:G48"/>
    <mergeCell ref="B49:E49"/>
    <mergeCell ref="F49:G49"/>
    <mergeCell ref="A4:C5"/>
    <mergeCell ref="D4:G4"/>
    <mergeCell ref="D5:G5"/>
    <mergeCell ref="A6:A7"/>
    <mergeCell ref="B6:B7"/>
    <mergeCell ref="C6:C7"/>
    <mergeCell ref="D6:D7"/>
    <mergeCell ref="E6:E7"/>
    <mergeCell ref="F6:F7"/>
    <mergeCell ref="G6:G7"/>
  </mergeCells>
  <printOptions horizontalCentered="1"/>
  <pageMargins left="0.59027777777777801" right="0.196527777777778" top="0.78749999999999998" bottom="0.59027777777777801" header="0.51180555555555496" footer="0.51180555555555496"/>
  <pageSetup paperSize="9" scale="75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743"/>
  <sheetViews>
    <sheetView showZeros="0" view="pageBreakPreview" zoomScaleNormal="100" workbookViewId="0">
      <selection activeCell="B5" sqref="B5"/>
    </sheetView>
  </sheetViews>
  <sheetFormatPr defaultColWidth="8.7109375" defaultRowHeight="12.75"/>
  <cols>
    <col min="2" max="2" width="6.28515625" customWidth="1"/>
    <col min="3" max="3" width="10.7109375" customWidth="1"/>
    <col min="4" max="4" width="10.28515625" customWidth="1"/>
    <col min="5" max="5" width="13.28515625" customWidth="1"/>
    <col min="7" max="7" width="9.28515625" customWidth="1"/>
    <col min="9" max="9" width="11.28515625" customWidth="1"/>
    <col min="10" max="11" width="9.7109375" customWidth="1"/>
  </cols>
  <sheetData>
    <row r="1" spans="1:15" s="174" customFormat="1" ht="20.45" customHeight="1">
      <c r="A1" s="172"/>
      <c r="B1" s="172"/>
      <c r="C1" s="172"/>
      <c r="D1" s="172"/>
      <c r="E1" s="172"/>
      <c r="F1" s="172"/>
      <c r="G1" s="172"/>
      <c r="H1" s="172"/>
      <c r="I1" s="172"/>
      <c r="J1" s="172"/>
      <c r="K1" s="173"/>
      <c r="L1" s="172"/>
    </row>
    <row r="2" spans="1:15" s="174" customFormat="1" ht="20.45" customHeight="1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3"/>
      <c r="L2" s="172"/>
    </row>
    <row r="3" spans="1:15" s="174" customFormat="1" ht="20.45" customHeight="1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3"/>
      <c r="L3" s="172"/>
    </row>
    <row r="4" spans="1:15" s="174" customFormat="1" ht="20.45" customHeight="1">
      <c r="B4" s="175" t="s">
        <v>139</v>
      </c>
      <c r="F4" s="176"/>
      <c r="H4" s="176"/>
      <c r="K4" s="177"/>
    </row>
    <row r="5" spans="1:15" s="174" customFormat="1" ht="20.45" customHeight="1">
      <c r="B5" s="431" t="s">
        <v>140</v>
      </c>
      <c r="C5" s="431"/>
      <c r="D5" s="431"/>
      <c r="E5" s="431"/>
      <c r="F5" s="176"/>
      <c r="H5" s="176"/>
      <c r="K5" s="177"/>
    </row>
    <row r="6" spans="1:15" s="174" customFormat="1" ht="20.45" customHeight="1">
      <c r="B6" s="432" t="s">
        <v>214</v>
      </c>
      <c r="C6" s="432"/>
      <c r="D6" s="432"/>
      <c r="E6" s="432"/>
      <c r="F6" s="432"/>
      <c r="G6" s="432"/>
      <c r="H6" s="432"/>
      <c r="I6" s="432"/>
      <c r="J6" s="432"/>
      <c r="K6" s="432"/>
      <c r="O6" s="179"/>
    </row>
    <row r="7" spans="1:15" s="174" customFormat="1" ht="20.45" customHeight="1">
      <c r="B7" s="180" t="s">
        <v>215</v>
      </c>
      <c r="C7" s="181" t="s">
        <v>216</v>
      </c>
      <c r="D7" s="433" t="s">
        <v>217</v>
      </c>
      <c r="E7" s="433"/>
      <c r="F7" s="433"/>
      <c r="G7" s="433"/>
      <c r="H7" s="433"/>
      <c r="I7" s="433"/>
      <c r="J7" s="182" t="s">
        <v>218</v>
      </c>
      <c r="K7" s="183" t="s">
        <v>219</v>
      </c>
      <c r="O7" s="179"/>
    </row>
    <row r="8" spans="1:15" s="174" customFormat="1" ht="20.45" customHeight="1">
      <c r="B8" s="184" t="s">
        <v>220</v>
      </c>
      <c r="C8" s="185"/>
      <c r="D8" s="185"/>
      <c r="E8" s="185"/>
      <c r="F8" s="186" t="s">
        <v>221</v>
      </c>
      <c r="G8" s="186" t="s">
        <v>222</v>
      </c>
      <c r="H8" s="186" t="s">
        <v>223</v>
      </c>
      <c r="I8" s="434" t="s">
        <v>224</v>
      </c>
      <c r="J8" s="434"/>
      <c r="K8" s="434"/>
      <c r="O8" s="179"/>
    </row>
    <row r="9" spans="1:15" s="174" customFormat="1" ht="20.45" customHeight="1">
      <c r="B9" s="184"/>
      <c r="C9" s="185"/>
      <c r="D9" s="185"/>
      <c r="E9" s="185"/>
      <c r="F9" s="187"/>
      <c r="G9" s="188"/>
      <c r="H9" s="188"/>
      <c r="I9" s="189"/>
      <c r="J9" s="185"/>
      <c r="K9" s="190"/>
      <c r="O9" s="179"/>
    </row>
    <row r="10" spans="1:15" s="174" customFormat="1" ht="20.45" customHeight="1">
      <c r="B10" s="184" t="s">
        <v>225</v>
      </c>
      <c r="C10" s="185"/>
      <c r="D10" s="185"/>
      <c r="E10" s="185"/>
      <c r="F10" s="191"/>
      <c r="G10" s="192">
        <f>'Folha Rosto Comp. P. Unit. '!B4</f>
        <v>1.26</v>
      </c>
      <c r="H10" s="191"/>
      <c r="I10" s="189"/>
      <c r="J10" s="185"/>
      <c r="K10" s="190">
        <f>ROUND(SUM(K8:K9)*1.1861,2)</f>
        <v>0</v>
      </c>
      <c r="O10" s="179"/>
    </row>
    <row r="11" spans="1:15" s="174" customFormat="1" ht="20.45" customHeight="1">
      <c r="B11" s="184"/>
      <c r="C11" s="185"/>
      <c r="D11" s="185"/>
      <c r="E11" s="185"/>
      <c r="F11" s="193"/>
      <c r="G11" s="194" t="s">
        <v>226</v>
      </c>
      <c r="H11" s="195"/>
      <c r="I11" s="196"/>
      <c r="J11" s="196"/>
      <c r="K11" s="197">
        <f>SUM(K9:K10)</f>
        <v>0</v>
      </c>
      <c r="O11" s="179"/>
    </row>
    <row r="12" spans="1:15" s="174" customFormat="1" ht="20.45" customHeight="1">
      <c r="B12" s="184" t="s">
        <v>227</v>
      </c>
      <c r="C12" s="185"/>
      <c r="D12" s="185"/>
      <c r="E12" s="185"/>
      <c r="F12" s="198" t="s">
        <v>221</v>
      </c>
      <c r="G12" s="198" t="s">
        <v>222</v>
      </c>
      <c r="H12" s="198" t="s">
        <v>223</v>
      </c>
      <c r="I12" s="435" t="s">
        <v>228</v>
      </c>
      <c r="J12" s="435"/>
      <c r="K12" s="435"/>
      <c r="O12" s="179"/>
    </row>
    <row r="13" spans="1:15" s="174" customFormat="1" ht="20.45" customHeight="1">
      <c r="B13" s="184" t="s">
        <v>229</v>
      </c>
      <c r="C13" s="185"/>
      <c r="D13" s="185"/>
      <c r="E13" s="185"/>
      <c r="F13" s="191" t="s">
        <v>219</v>
      </c>
      <c r="G13" s="188">
        <v>1</v>
      </c>
      <c r="H13" s="188">
        <f>3*500</f>
        <v>1500</v>
      </c>
      <c r="I13" s="199"/>
      <c r="J13" s="200"/>
      <c r="K13" s="201">
        <f>ROUND(G13*H13,2)</f>
        <v>1500</v>
      </c>
      <c r="O13" s="179"/>
    </row>
    <row r="14" spans="1:15" s="174" customFormat="1" ht="20.45" customHeight="1">
      <c r="B14" s="184" t="s">
        <v>230</v>
      </c>
      <c r="C14" s="185"/>
      <c r="D14" s="185"/>
      <c r="E14" s="185"/>
      <c r="F14" s="191" t="s">
        <v>219</v>
      </c>
      <c r="G14" s="188">
        <v>2</v>
      </c>
      <c r="H14" s="188">
        <v>2000</v>
      </c>
      <c r="I14" s="199"/>
      <c r="J14" s="200"/>
      <c r="K14" s="201">
        <f>ROUND(G14*H14,2)</f>
        <v>4000</v>
      </c>
      <c r="O14" s="179"/>
    </row>
    <row r="15" spans="1:15" s="174" customFormat="1" ht="20.45" customHeight="1">
      <c r="B15" s="184" t="s">
        <v>231</v>
      </c>
      <c r="C15" s="185"/>
      <c r="D15" s="185"/>
      <c r="E15" s="185"/>
      <c r="F15" s="193"/>
      <c r="G15" s="194" t="s">
        <v>232</v>
      </c>
      <c r="H15" s="195"/>
      <c r="I15" s="196"/>
      <c r="J15" s="196"/>
      <c r="K15" s="142">
        <f>SUM(K13:K14)</f>
        <v>5500</v>
      </c>
      <c r="O15" s="179"/>
    </row>
    <row r="16" spans="1:15" s="174" customFormat="1" ht="20.45" customHeight="1">
      <c r="B16" s="184" t="s">
        <v>233</v>
      </c>
      <c r="C16" s="185"/>
      <c r="D16" s="185"/>
      <c r="E16" s="185"/>
      <c r="F16" s="193"/>
      <c r="G16" s="185"/>
      <c r="H16" s="193"/>
      <c r="I16" s="185"/>
      <c r="J16" s="185"/>
      <c r="K16" s="202">
        <f>SUM(K11+K15)</f>
        <v>5500</v>
      </c>
      <c r="O16" s="179"/>
    </row>
    <row r="17" spans="2:15" s="174" customFormat="1" ht="20.45" customHeight="1">
      <c r="B17" s="184" t="s">
        <v>234</v>
      </c>
      <c r="C17" s="185"/>
      <c r="D17" s="203">
        <f>'Folha Rosto Comp. P. Unit. '!B5</f>
        <v>0.3</v>
      </c>
      <c r="E17" s="185"/>
      <c r="F17" s="193"/>
      <c r="G17" s="185"/>
      <c r="H17" s="193"/>
      <c r="I17" s="185"/>
      <c r="J17" s="185"/>
      <c r="K17" s="202">
        <f>K16*D17</f>
        <v>1650</v>
      </c>
      <c r="O17" s="179"/>
    </row>
    <row r="18" spans="2:15" s="174" customFormat="1" ht="20.45" customHeight="1">
      <c r="B18" s="436" t="s">
        <v>235</v>
      </c>
      <c r="C18" s="436"/>
      <c r="D18" s="436"/>
      <c r="E18" s="436"/>
      <c r="F18" s="436"/>
      <c r="G18" s="436"/>
      <c r="H18" s="436"/>
      <c r="I18" s="436"/>
      <c r="J18" s="436"/>
      <c r="K18" s="142">
        <f>SUM(K16:K17)</f>
        <v>7150</v>
      </c>
      <c r="O18" s="179"/>
    </row>
    <row r="19" spans="2:15" s="174" customFormat="1" ht="20.45" customHeight="1"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O19" s="179"/>
    </row>
    <row r="20" spans="2:15" s="174" customFormat="1" ht="15" customHeight="1">
      <c r="B20" s="180" t="s">
        <v>236</v>
      </c>
      <c r="C20" s="181" t="s">
        <v>216</v>
      </c>
      <c r="D20" s="433" t="s">
        <v>237</v>
      </c>
      <c r="E20" s="433"/>
      <c r="F20" s="433"/>
      <c r="G20" s="433"/>
      <c r="H20" s="433"/>
      <c r="I20" s="433"/>
      <c r="J20" s="182" t="s">
        <v>218</v>
      </c>
      <c r="K20" s="183" t="s">
        <v>219</v>
      </c>
    </row>
    <row r="21" spans="2:15" s="174" customFormat="1" ht="15" customHeight="1">
      <c r="B21" s="184" t="s">
        <v>220</v>
      </c>
      <c r="C21" s="185"/>
      <c r="D21" s="185"/>
      <c r="E21" s="185"/>
      <c r="F21" s="186" t="s">
        <v>221</v>
      </c>
      <c r="G21" s="186" t="s">
        <v>222</v>
      </c>
      <c r="H21" s="186" t="s">
        <v>223</v>
      </c>
      <c r="I21" s="434" t="s">
        <v>224</v>
      </c>
      <c r="J21" s="434"/>
      <c r="K21" s="434"/>
    </row>
    <row r="22" spans="2:15" s="174" customFormat="1" ht="15" customHeight="1">
      <c r="B22" s="184"/>
      <c r="C22" s="185"/>
      <c r="D22" s="185"/>
      <c r="E22" s="185"/>
      <c r="F22" s="187"/>
      <c r="G22" s="188"/>
      <c r="H22" s="188"/>
      <c r="I22" s="189"/>
      <c r="J22" s="185"/>
      <c r="K22" s="190"/>
    </row>
    <row r="23" spans="2:15" s="174" customFormat="1" ht="15" customHeight="1">
      <c r="B23" s="184" t="s">
        <v>225</v>
      </c>
      <c r="C23" s="185"/>
      <c r="D23" s="185"/>
      <c r="E23" s="185"/>
      <c r="F23" s="191"/>
      <c r="G23" s="192">
        <f>'Folha Rosto Comp. P. Unit. '!B4</f>
        <v>1.26</v>
      </c>
      <c r="H23" s="191"/>
      <c r="I23" s="189"/>
      <c r="J23" s="185"/>
      <c r="K23" s="190">
        <f>ROUND(SUM(K21:K22)*1.1861,2)</f>
        <v>0</v>
      </c>
    </row>
    <row r="24" spans="2:15" s="174" customFormat="1" ht="15" customHeight="1">
      <c r="B24" s="184"/>
      <c r="C24" s="185"/>
      <c r="D24" s="185"/>
      <c r="E24" s="185"/>
      <c r="F24" s="193"/>
      <c r="G24" s="194" t="s">
        <v>226</v>
      </c>
      <c r="H24" s="195"/>
      <c r="I24" s="196"/>
      <c r="J24" s="196"/>
      <c r="K24" s="197">
        <f>SUM(K22:K23)</f>
        <v>0</v>
      </c>
    </row>
    <row r="25" spans="2:15" s="174" customFormat="1" ht="15" customHeight="1">
      <c r="B25" s="184" t="s">
        <v>227</v>
      </c>
      <c r="C25" s="185"/>
      <c r="D25" s="185"/>
      <c r="E25" s="185"/>
      <c r="F25" s="198" t="s">
        <v>221</v>
      </c>
      <c r="G25" s="198" t="s">
        <v>222</v>
      </c>
      <c r="H25" s="198" t="s">
        <v>223</v>
      </c>
      <c r="I25" s="435" t="s">
        <v>228</v>
      </c>
      <c r="J25" s="435"/>
      <c r="K25" s="435"/>
    </row>
    <row r="26" spans="2:15" s="174" customFormat="1" ht="15" customHeight="1">
      <c r="B26" s="184" t="s">
        <v>238</v>
      </c>
      <c r="C26" s="185"/>
      <c r="D26" s="185"/>
      <c r="E26" s="185"/>
      <c r="F26" s="191" t="s">
        <v>219</v>
      </c>
      <c r="G26" s="188">
        <v>1</v>
      </c>
      <c r="H26" s="188">
        <f>3*20*1.35*30</f>
        <v>2430</v>
      </c>
      <c r="I26" s="199"/>
      <c r="J26" s="200"/>
      <c r="K26" s="201">
        <f>ROUND(G26*H26,2)</f>
        <v>2430</v>
      </c>
    </row>
    <row r="27" spans="2:15" s="174" customFormat="1" ht="15" customHeight="1">
      <c r="B27" s="184" t="s">
        <v>239</v>
      </c>
      <c r="C27" s="185"/>
      <c r="D27" s="185"/>
      <c r="E27" s="185"/>
      <c r="F27" s="191" t="s">
        <v>219</v>
      </c>
      <c r="G27" s="188">
        <v>1</v>
      </c>
      <c r="H27" s="188">
        <v>2000</v>
      </c>
      <c r="I27" s="199"/>
      <c r="J27" s="200"/>
      <c r="K27" s="201">
        <f>ROUND(G27*H27,2)</f>
        <v>2000</v>
      </c>
    </row>
    <row r="28" spans="2:15" s="174" customFormat="1" ht="15" customHeight="1">
      <c r="B28" s="184" t="s">
        <v>231</v>
      </c>
      <c r="C28" s="185"/>
      <c r="D28" s="185"/>
      <c r="E28" s="185"/>
      <c r="F28" s="193"/>
      <c r="G28" s="194" t="s">
        <v>232</v>
      </c>
      <c r="H28" s="195"/>
      <c r="I28" s="196"/>
      <c r="J28" s="196"/>
      <c r="K28" s="142">
        <f>SUM(K26:K27)</f>
        <v>4430</v>
      </c>
    </row>
    <row r="29" spans="2:15" s="174" customFormat="1" ht="15" customHeight="1">
      <c r="B29" s="184" t="s">
        <v>233</v>
      </c>
      <c r="C29" s="185"/>
      <c r="D29" s="185"/>
      <c r="E29" s="185"/>
      <c r="F29" s="193"/>
      <c r="G29" s="185"/>
      <c r="H29" s="193"/>
      <c r="I29" s="185"/>
      <c r="J29" s="185"/>
      <c r="K29" s="202">
        <f>SUM(K24+K28)</f>
        <v>4430</v>
      </c>
    </row>
    <row r="30" spans="2:15" s="174" customFormat="1" ht="15" customHeight="1">
      <c r="B30" s="184" t="s">
        <v>234</v>
      </c>
      <c r="C30" s="185"/>
      <c r="D30" s="203">
        <f>'Folha Rosto Comp. P. Unit. '!B5</f>
        <v>0.3</v>
      </c>
      <c r="E30" s="185"/>
      <c r="F30" s="193"/>
      <c r="G30" s="185"/>
      <c r="H30" s="193"/>
      <c r="I30" s="185"/>
      <c r="J30" s="185"/>
      <c r="K30" s="202">
        <f>K29*D30</f>
        <v>1329</v>
      </c>
    </row>
    <row r="31" spans="2:15" s="174" customFormat="1" ht="15" customHeight="1">
      <c r="B31" s="436" t="s">
        <v>235</v>
      </c>
      <c r="C31" s="436"/>
      <c r="D31" s="436"/>
      <c r="E31" s="436"/>
      <c r="F31" s="436"/>
      <c r="G31" s="436"/>
      <c r="H31" s="436"/>
      <c r="I31" s="436"/>
      <c r="J31" s="436"/>
      <c r="K31" s="142">
        <f>SUM(K29:K30)</f>
        <v>5759</v>
      </c>
    </row>
    <row r="32" spans="2:15" s="174" customFormat="1" ht="15" customHeight="1">
      <c r="B32" s="204"/>
      <c r="F32" s="176"/>
      <c r="H32" s="176"/>
      <c r="K32" s="205"/>
    </row>
    <row r="33" spans="2:11" s="174" customFormat="1" ht="15" customHeight="1">
      <c r="B33" s="206">
        <v>3</v>
      </c>
      <c r="C33" s="181" t="s">
        <v>216</v>
      </c>
      <c r="D33" s="196" t="s">
        <v>240</v>
      </c>
      <c r="E33" s="196"/>
      <c r="F33" s="195"/>
      <c r="G33" s="196"/>
      <c r="H33" s="195"/>
      <c r="I33" s="207"/>
      <c r="J33" s="182" t="s">
        <v>218</v>
      </c>
      <c r="K33" s="208" t="s">
        <v>241</v>
      </c>
    </row>
    <row r="34" spans="2:11" s="174" customFormat="1" ht="15" customHeight="1">
      <c r="B34" s="209" t="s">
        <v>220</v>
      </c>
      <c r="C34" s="210"/>
      <c r="D34" s="210"/>
      <c r="E34" s="211"/>
      <c r="F34" s="198" t="s">
        <v>221</v>
      </c>
      <c r="G34" s="198" t="s">
        <v>222</v>
      </c>
      <c r="H34" s="198" t="s">
        <v>223</v>
      </c>
      <c r="I34" s="435" t="s">
        <v>242</v>
      </c>
      <c r="J34" s="435"/>
      <c r="K34" s="435"/>
    </row>
    <row r="35" spans="2:11" s="174" customFormat="1" ht="15" customHeight="1">
      <c r="B35" s="184" t="s">
        <v>243</v>
      </c>
      <c r="C35" s="185"/>
      <c r="D35" s="185"/>
      <c r="E35" s="185"/>
      <c r="F35" s="212" t="s">
        <v>244</v>
      </c>
      <c r="G35" s="213">
        <v>3</v>
      </c>
      <c r="H35" s="214">
        <f>'Folha Rosto Comp. P. Unit. '!D7</f>
        <v>2.56</v>
      </c>
      <c r="I35" s="200"/>
      <c r="J35" s="200"/>
      <c r="K35" s="215">
        <f>ROUND(G35*H35,2)</f>
        <v>7.68</v>
      </c>
    </row>
    <row r="36" spans="2:11" s="174" customFormat="1" ht="15" customHeight="1">
      <c r="B36" s="184" t="s">
        <v>245</v>
      </c>
      <c r="C36" s="185"/>
      <c r="D36" s="185"/>
      <c r="E36" s="185"/>
      <c r="F36" s="212" t="s">
        <v>244</v>
      </c>
      <c r="G36" s="213">
        <v>6</v>
      </c>
      <c r="H36" s="214">
        <f>'Folha Rosto Comp. P. Unit. '!D8</f>
        <v>1.64</v>
      </c>
      <c r="I36" s="200"/>
      <c r="J36" s="200"/>
      <c r="K36" s="215">
        <f>ROUND(G36*H36,2)</f>
        <v>9.84</v>
      </c>
    </row>
    <row r="37" spans="2:11" s="174" customFormat="1" ht="15" customHeight="1">
      <c r="B37" s="184"/>
      <c r="C37" s="185"/>
      <c r="D37" s="216" t="s">
        <v>246</v>
      </c>
      <c r="E37" s="185"/>
      <c r="F37" s="212"/>
      <c r="G37" s="213"/>
      <c r="H37" s="213"/>
      <c r="I37" s="200"/>
      <c r="J37" s="200"/>
      <c r="K37" s="201">
        <f>SUM(K35:K36)</f>
        <v>17.52</v>
      </c>
    </row>
    <row r="38" spans="2:11" s="174" customFormat="1" ht="15" customHeight="1">
      <c r="B38" s="184" t="s">
        <v>247</v>
      </c>
      <c r="C38" s="185"/>
      <c r="D38" s="185"/>
      <c r="E38" s="185"/>
      <c r="F38" s="186"/>
      <c r="G38" s="217">
        <f>'Folha Rosto Comp. P. Unit. '!B4</f>
        <v>1.26</v>
      </c>
      <c r="H38" s="186"/>
      <c r="I38" s="185"/>
      <c r="J38" s="185"/>
      <c r="K38" s="201">
        <f>K37*G38</f>
        <v>22.075199999999999</v>
      </c>
    </row>
    <row r="39" spans="2:11" s="174" customFormat="1" ht="15" customHeight="1">
      <c r="B39" s="209"/>
      <c r="C39" s="210"/>
      <c r="D39" s="210"/>
      <c r="E39" s="210"/>
      <c r="F39" s="218"/>
      <c r="G39" s="194" t="s">
        <v>248</v>
      </c>
      <c r="H39" s="195"/>
      <c r="I39" s="219"/>
      <c r="J39" s="220"/>
      <c r="K39" s="221">
        <f>SUM(K37:K38)</f>
        <v>39.595199999999998</v>
      </c>
    </row>
    <row r="40" spans="2:11" s="174" customFormat="1" ht="15" customHeight="1">
      <c r="B40" s="184" t="s">
        <v>227</v>
      </c>
      <c r="C40" s="189"/>
      <c r="D40" s="172"/>
      <c r="E40" s="172"/>
      <c r="F40" s="222" t="s">
        <v>221</v>
      </c>
      <c r="G40" s="223" t="s">
        <v>249</v>
      </c>
      <c r="H40" s="223" t="s">
        <v>223</v>
      </c>
      <c r="I40" s="437" t="s">
        <v>224</v>
      </c>
      <c r="J40" s="437"/>
      <c r="K40" s="437"/>
    </row>
    <row r="41" spans="2:11" s="174" customFormat="1" ht="15" customHeight="1">
      <c r="B41" s="225" t="s">
        <v>250</v>
      </c>
      <c r="C41" s="226"/>
      <c r="D41" s="226"/>
      <c r="E41" s="226"/>
      <c r="F41" s="198" t="s">
        <v>251</v>
      </c>
      <c r="G41" s="214">
        <v>0.17</v>
      </c>
      <c r="H41" s="214">
        <v>65</v>
      </c>
      <c r="I41" s="200"/>
      <c r="J41" s="200"/>
      <c r="K41" s="215">
        <f t="shared" ref="K41:K55" si="0">ROUND(G41*H41,2)</f>
        <v>11.05</v>
      </c>
    </row>
    <row r="42" spans="2:11" s="174" customFormat="1" ht="15" customHeight="1">
      <c r="B42" s="184" t="s">
        <v>252</v>
      </c>
      <c r="C42" s="185"/>
      <c r="D42" s="185"/>
      <c r="E42" s="185"/>
      <c r="F42" s="186" t="s">
        <v>219</v>
      </c>
      <c r="G42" s="213">
        <v>0.02</v>
      </c>
      <c r="H42" s="213">
        <v>8.5</v>
      </c>
      <c r="I42" s="200"/>
      <c r="J42" s="200"/>
      <c r="K42" s="201">
        <f t="shared" si="0"/>
        <v>0.17</v>
      </c>
    </row>
    <row r="43" spans="2:11" s="174" customFormat="1" ht="15" customHeight="1">
      <c r="B43" s="227" t="s">
        <v>253</v>
      </c>
      <c r="C43" s="228"/>
      <c r="D43" s="228"/>
      <c r="E43" s="228"/>
      <c r="F43" s="186" t="s">
        <v>219</v>
      </c>
      <c r="G43" s="214">
        <v>8</v>
      </c>
      <c r="H43" s="213">
        <v>0.95</v>
      </c>
      <c r="I43" s="200"/>
      <c r="J43" s="200"/>
      <c r="K43" s="201">
        <f t="shared" si="0"/>
        <v>7.6</v>
      </c>
    </row>
    <row r="44" spans="2:11" s="174" customFormat="1" ht="15" customHeight="1">
      <c r="B44" s="184" t="s">
        <v>254</v>
      </c>
      <c r="C44" s="185"/>
      <c r="D44" s="185"/>
      <c r="E44" s="185"/>
      <c r="F44" s="186" t="s">
        <v>219</v>
      </c>
      <c r="G44" s="214">
        <v>0.82</v>
      </c>
      <c r="H44" s="213">
        <v>8.1</v>
      </c>
      <c r="I44" s="200"/>
      <c r="J44" s="200"/>
      <c r="K44" s="215">
        <f t="shared" si="0"/>
        <v>6.64</v>
      </c>
    </row>
    <row r="45" spans="2:11" s="174" customFormat="1" ht="15" customHeight="1">
      <c r="B45" s="184" t="s">
        <v>255</v>
      </c>
      <c r="C45" s="185"/>
      <c r="D45" s="185"/>
      <c r="E45" s="185"/>
      <c r="F45" s="186" t="s">
        <v>251</v>
      </c>
      <c r="G45" s="214">
        <v>0.05</v>
      </c>
      <c r="H45" s="213">
        <v>55</v>
      </c>
      <c r="I45" s="200"/>
      <c r="J45" s="200"/>
      <c r="K45" s="215">
        <f t="shared" si="0"/>
        <v>2.75</v>
      </c>
    </row>
    <row r="46" spans="2:11" s="174" customFormat="1" ht="15" customHeight="1">
      <c r="B46" s="184" t="s">
        <v>256</v>
      </c>
      <c r="C46" s="185"/>
      <c r="D46" s="185"/>
      <c r="E46" s="185"/>
      <c r="F46" s="186" t="s">
        <v>251</v>
      </c>
      <c r="G46" s="214">
        <v>0.38</v>
      </c>
      <c r="H46" s="213">
        <v>18</v>
      </c>
      <c r="I46" s="200"/>
      <c r="J46" s="200"/>
      <c r="K46" s="215">
        <f t="shared" si="0"/>
        <v>6.84</v>
      </c>
    </row>
    <row r="47" spans="2:11" s="174" customFormat="1" ht="15" customHeight="1">
      <c r="B47" s="184" t="s">
        <v>257</v>
      </c>
      <c r="C47" s="185"/>
      <c r="D47" s="185"/>
      <c r="E47" s="185"/>
      <c r="F47" s="186" t="s">
        <v>219</v>
      </c>
      <c r="G47" s="214">
        <v>0.04</v>
      </c>
      <c r="H47" s="213">
        <v>2</v>
      </c>
      <c r="I47" s="200"/>
      <c r="J47" s="200"/>
      <c r="K47" s="215">
        <f t="shared" si="0"/>
        <v>0.08</v>
      </c>
    </row>
    <row r="48" spans="2:11" s="174" customFormat="1" ht="15" customHeight="1">
      <c r="B48" s="184" t="s">
        <v>258</v>
      </c>
      <c r="C48" s="185"/>
      <c r="D48" s="185"/>
      <c r="E48" s="185"/>
      <c r="F48" s="186" t="s">
        <v>219</v>
      </c>
      <c r="G48" s="214">
        <v>0.02</v>
      </c>
      <c r="H48" s="213">
        <v>22.5</v>
      </c>
      <c r="I48" s="200"/>
      <c r="J48" s="200"/>
      <c r="K48" s="215">
        <f t="shared" si="0"/>
        <v>0.45</v>
      </c>
    </row>
    <row r="49" spans="2:11" s="174" customFormat="1" ht="15" customHeight="1">
      <c r="B49" s="184" t="s">
        <v>259</v>
      </c>
      <c r="C49" s="185"/>
      <c r="D49" s="185"/>
      <c r="E49" s="185"/>
      <c r="F49" s="186" t="s">
        <v>219</v>
      </c>
      <c r="G49" s="214">
        <v>0.19</v>
      </c>
      <c r="H49" s="213">
        <v>4.5</v>
      </c>
      <c r="I49" s="200"/>
      <c r="J49" s="200"/>
      <c r="K49" s="215">
        <f t="shared" si="0"/>
        <v>0.86</v>
      </c>
    </row>
    <row r="50" spans="2:11" s="174" customFormat="1" ht="15" customHeight="1">
      <c r="B50" s="184" t="s">
        <v>260</v>
      </c>
      <c r="C50" s="185"/>
      <c r="D50" s="185"/>
      <c r="E50" s="185"/>
      <c r="F50" s="186" t="s">
        <v>261</v>
      </c>
      <c r="G50" s="214">
        <v>0.5</v>
      </c>
      <c r="H50" s="213">
        <v>4.5</v>
      </c>
      <c r="I50" s="200"/>
      <c r="J50" s="200"/>
      <c r="K50" s="215">
        <f t="shared" si="0"/>
        <v>2.25</v>
      </c>
    </row>
    <row r="51" spans="2:11" s="174" customFormat="1" ht="15" customHeight="1">
      <c r="B51" s="184" t="s">
        <v>262</v>
      </c>
      <c r="C51" s="185"/>
      <c r="D51" s="185"/>
      <c r="E51" s="185"/>
      <c r="F51" s="186" t="s">
        <v>261</v>
      </c>
      <c r="G51" s="214">
        <v>4.2000000000000003E-2</v>
      </c>
      <c r="H51" s="213">
        <v>22</v>
      </c>
      <c r="I51" s="200"/>
      <c r="J51" s="200"/>
      <c r="K51" s="215">
        <f t="shared" si="0"/>
        <v>0.92</v>
      </c>
    </row>
    <row r="52" spans="2:11" s="174" customFormat="1" ht="15" customHeight="1">
      <c r="B52" s="184" t="s">
        <v>263</v>
      </c>
      <c r="C52" s="185"/>
      <c r="D52" s="185"/>
      <c r="E52" s="185"/>
      <c r="F52" s="186" t="s">
        <v>251</v>
      </c>
      <c r="G52" s="214">
        <v>0.14000000000000001</v>
      </c>
      <c r="H52" s="213">
        <v>45</v>
      </c>
      <c r="I52" s="200"/>
      <c r="J52" s="200"/>
      <c r="K52" s="215">
        <f t="shared" si="0"/>
        <v>6.3</v>
      </c>
    </row>
    <row r="53" spans="2:11" s="174" customFormat="1" ht="15" customHeight="1">
      <c r="B53" s="184" t="s">
        <v>264</v>
      </c>
      <c r="C53" s="185"/>
      <c r="D53" s="185"/>
      <c r="E53" s="185"/>
      <c r="F53" s="186" t="s">
        <v>219</v>
      </c>
      <c r="G53" s="214">
        <v>0.02</v>
      </c>
      <c r="H53" s="213">
        <v>3.6</v>
      </c>
      <c r="I53" s="200"/>
      <c r="J53" s="200"/>
      <c r="K53" s="215">
        <f t="shared" si="0"/>
        <v>7.0000000000000007E-2</v>
      </c>
    </row>
    <row r="54" spans="2:11" s="174" customFormat="1" ht="15" customHeight="1">
      <c r="B54" s="184" t="s">
        <v>265</v>
      </c>
      <c r="C54" s="185"/>
      <c r="D54" s="185"/>
      <c r="E54" s="185"/>
      <c r="F54" s="186" t="s">
        <v>219</v>
      </c>
      <c r="G54" s="229">
        <v>1</v>
      </c>
      <c r="H54" s="229">
        <v>8.4</v>
      </c>
      <c r="I54" s="230"/>
      <c r="J54" s="230"/>
      <c r="K54" s="231">
        <f t="shared" si="0"/>
        <v>8.4</v>
      </c>
    </row>
    <row r="55" spans="2:11" s="174" customFormat="1" ht="15" customHeight="1">
      <c r="B55" s="184" t="s">
        <v>266</v>
      </c>
      <c r="C55" s="185"/>
      <c r="D55" s="185"/>
      <c r="E55" s="185"/>
      <c r="F55" s="186" t="s">
        <v>219</v>
      </c>
      <c r="G55" s="229">
        <v>1</v>
      </c>
      <c r="H55" s="229">
        <v>9.1999999999999993</v>
      </c>
      <c r="I55" s="230"/>
      <c r="J55" s="230"/>
      <c r="K55" s="231">
        <f t="shared" si="0"/>
        <v>9.1999999999999993</v>
      </c>
    </row>
    <row r="56" spans="2:11" s="174" customFormat="1" ht="15" customHeight="1">
      <c r="B56" s="209" t="s">
        <v>231</v>
      </c>
      <c r="C56" s="210"/>
      <c r="D56" s="210"/>
      <c r="E56" s="210"/>
      <c r="F56" s="232"/>
      <c r="G56" s="194" t="s">
        <v>232</v>
      </c>
      <c r="H56" s="195"/>
      <c r="I56" s="219"/>
      <c r="J56" s="220"/>
      <c r="K56" s="221">
        <f>SUM(K41:K55)</f>
        <v>63.58</v>
      </c>
    </row>
    <row r="57" spans="2:11" s="174" customFormat="1" ht="15" customHeight="1">
      <c r="B57" s="233" t="s">
        <v>267</v>
      </c>
      <c r="C57" s="234"/>
      <c r="D57" s="234"/>
      <c r="E57" s="234"/>
      <c r="F57" s="235"/>
      <c r="G57" s="236"/>
      <c r="H57" s="237"/>
      <c r="I57" s="236"/>
      <c r="J57" s="236"/>
      <c r="K57" s="238">
        <f>SUM(K39+K56)</f>
        <v>103.17519999999999</v>
      </c>
    </row>
    <row r="58" spans="2:11" s="174" customFormat="1" ht="15" customHeight="1">
      <c r="B58" s="239" t="s">
        <v>234</v>
      </c>
      <c r="C58" s="236"/>
      <c r="D58" s="240">
        <f>'Folha Rosto Comp. P. Unit. '!B5</f>
        <v>0.3</v>
      </c>
      <c r="E58" s="236"/>
      <c r="F58" s="237"/>
      <c r="G58" s="236"/>
      <c r="H58" s="237"/>
      <c r="I58" s="236"/>
      <c r="J58" s="236"/>
      <c r="K58" s="238">
        <f>ROUND(K57*D58,2)</f>
        <v>30.95</v>
      </c>
    </row>
    <row r="59" spans="2:11" s="174" customFormat="1" ht="15" customHeight="1">
      <c r="B59" s="436" t="s">
        <v>235</v>
      </c>
      <c r="C59" s="436"/>
      <c r="D59" s="436"/>
      <c r="E59" s="436"/>
      <c r="F59" s="436"/>
      <c r="G59" s="436"/>
      <c r="H59" s="436"/>
      <c r="I59" s="436"/>
      <c r="J59" s="436"/>
      <c r="K59" s="221">
        <f>SUM(K57:K58)</f>
        <v>134.12519999999998</v>
      </c>
    </row>
    <row r="60" spans="2:11" s="174" customFormat="1" ht="15" customHeight="1">
      <c r="B60" s="172"/>
      <c r="F60" s="176"/>
      <c r="H60" s="176"/>
      <c r="K60" s="177"/>
    </row>
    <row r="61" spans="2:11" s="174" customFormat="1" ht="15" customHeight="1">
      <c r="B61" s="206">
        <v>4</v>
      </c>
      <c r="C61" s="181" t="s">
        <v>216</v>
      </c>
      <c r="D61" s="196" t="s">
        <v>268</v>
      </c>
      <c r="E61" s="196"/>
      <c r="F61" s="195"/>
      <c r="G61" s="196"/>
      <c r="H61" s="195"/>
      <c r="I61" s="207"/>
      <c r="J61" s="241" t="s">
        <v>218</v>
      </c>
      <c r="K61" s="242" t="s">
        <v>241</v>
      </c>
    </row>
    <row r="62" spans="2:11" s="174" customFormat="1" ht="15" customHeight="1">
      <c r="B62" s="184" t="s">
        <v>220</v>
      </c>
      <c r="C62" s="185"/>
      <c r="D62" s="185"/>
      <c r="E62" s="243"/>
      <c r="F62" s="186" t="s">
        <v>221</v>
      </c>
      <c r="G62" s="186" t="s">
        <v>222</v>
      </c>
      <c r="H62" s="223" t="s">
        <v>223</v>
      </c>
      <c r="I62" s="185" t="s">
        <v>224</v>
      </c>
      <c r="J62" s="185"/>
      <c r="K62" s="244"/>
    </row>
    <row r="63" spans="2:11" s="174" customFormat="1" ht="15" customHeight="1">
      <c r="B63" s="227" t="s">
        <v>269</v>
      </c>
      <c r="C63" s="185"/>
      <c r="D63" s="185"/>
      <c r="E63" s="185"/>
      <c r="F63" s="186" t="s">
        <v>244</v>
      </c>
      <c r="G63" s="213">
        <v>10.17</v>
      </c>
      <c r="H63" s="214">
        <f>'Folha Rosto Comp. P. Unit. '!D7</f>
        <v>2.56</v>
      </c>
      <c r="I63" s="200"/>
      <c r="J63" s="200"/>
      <c r="K63" s="215">
        <f>ROUND(G63*H63,2)</f>
        <v>26.04</v>
      </c>
    </row>
    <row r="64" spans="2:11" s="174" customFormat="1" ht="15" customHeight="1">
      <c r="B64" s="227" t="s">
        <v>245</v>
      </c>
      <c r="C64" s="185"/>
      <c r="D64" s="185"/>
      <c r="E64" s="185"/>
      <c r="F64" s="186" t="s">
        <v>244</v>
      </c>
      <c r="G64" s="213">
        <v>4</v>
      </c>
      <c r="H64" s="214">
        <f>'Folha Rosto Comp. P. Unit. '!D8</f>
        <v>1.64</v>
      </c>
      <c r="I64" s="200"/>
      <c r="J64" s="200"/>
      <c r="K64" s="215">
        <f>ROUND(G64*H64,2)</f>
        <v>6.56</v>
      </c>
    </row>
    <row r="65" spans="2:12" s="174" customFormat="1" ht="15" customHeight="1">
      <c r="B65" s="227" t="s">
        <v>243</v>
      </c>
      <c r="C65" s="185"/>
      <c r="D65" s="185"/>
      <c r="E65" s="185"/>
      <c r="F65" s="186" t="s">
        <v>244</v>
      </c>
      <c r="G65" s="213">
        <v>6</v>
      </c>
      <c r="H65" s="214">
        <f>'Folha Rosto Comp. P. Unit. '!D7</f>
        <v>2.56</v>
      </c>
      <c r="I65" s="200"/>
      <c r="J65" s="200"/>
      <c r="K65" s="215">
        <f>ROUND(G65*H65,2)</f>
        <v>15.36</v>
      </c>
    </row>
    <row r="66" spans="2:12" s="174" customFormat="1" ht="15" customHeight="1">
      <c r="B66" s="227"/>
      <c r="C66" s="185"/>
      <c r="D66" s="216" t="s">
        <v>246</v>
      </c>
      <c r="E66" s="185"/>
      <c r="F66" s="191"/>
      <c r="G66" s="245"/>
      <c r="H66" s="245"/>
      <c r="I66" s="230"/>
      <c r="J66" s="230"/>
      <c r="K66" s="246">
        <f>SUM(K63:K65)</f>
        <v>47.96</v>
      </c>
    </row>
    <row r="67" spans="2:12" s="174" customFormat="1" ht="15" customHeight="1">
      <c r="B67" s="227" t="s">
        <v>225</v>
      </c>
      <c r="C67" s="185"/>
      <c r="D67" s="185"/>
      <c r="E67" s="185"/>
      <c r="F67" s="191"/>
      <c r="G67" s="247">
        <f>'Folha Rosto Comp. P. Unit. '!B4</f>
        <v>1.26</v>
      </c>
      <c r="H67" s="237"/>
      <c r="I67" s="236"/>
      <c r="J67" s="236"/>
      <c r="K67" s="238">
        <f>K66*G67</f>
        <v>60.429600000000001</v>
      </c>
    </row>
    <row r="68" spans="2:12" s="174" customFormat="1" ht="15" customHeight="1">
      <c r="B68" s="209"/>
      <c r="C68" s="210"/>
      <c r="D68" s="210"/>
      <c r="E68" s="210"/>
      <c r="F68" s="218"/>
      <c r="G68" s="248" t="s">
        <v>248</v>
      </c>
      <c r="H68" s="249"/>
      <c r="I68" s="250"/>
      <c r="J68" s="250"/>
      <c r="K68" s="251">
        <f>SUM(K66:K67)</f>
        <v>108.3896</v>
      </c>
    </row>
    <row r="69" spans="2:12" s="174" customFormat="1" ht="15" customHeight="1">
      <c r="B69" s="438" t="s">
        <v>270</v>
      </c>
      <c r="C69" s="438"/>
      <c r="D69" s="438"/>
      <c r="E69" s="438"/>
      <c r="F69" s="222" t="s">
        <v>221</v>
      </c>
      <c r="G69" s="222" t="s">
        <v>249</v>
      </c>
      <c r="H69" s="222" t="s">
        <v>223</v>
      </c>
      <c r="I69" s="252" t="s">
        <v>224</v>
      </c>
      <c r="J69" s="210"/>
      <c r="K69" s="253"/>
      <c r="L69" s="254"/>
    </row>
    <row r="70" spans="2:12" s="174" customFormat="1" ht="15" customHeight="1">
      <c r="B70" s="227" t="s">
        <v>271</v>
      </c>
      <c r="C70" s="185"/>
      <c r="D70" s="210"/>
      <c r="E70" s="210"/>
      <c r="F70" s="198" t="s">
        <v>272</v>
      </c>
      <c r="G70" s="214">
        <v>0.1</v>
      </c>
      <c r="H70" s="214">
        <v>58.9</v>
      </c>
      <c r="I70" s="255"/>
      <c r="J70" s="256"/>
      <c r="K70" s="215">
        <f>ROUND(G70*H70,2)</f>
        <v>5.89</v>
      </c>
      <c r="L70" s="257"/>
    </row>
    <row r="71" spans="2:12" s="174" customFormat="1" ht="15" customHeight="1">
      <c r="B71" s="227" t="s">
        <v>273</v>
      </c>
      <c r="C71" s="185"/>
      <c r="D71" s="185"/>
      <c r="E71" s="185"/>
      <c r="F71" s="186" t="s">
        <v>272</v>
      </c>
      <c r="G71" s="214">
        <v>0.14000000000000001</v>
      </c>
      <c r="H71" s="213">
        <v>41.5</v>
      </c>
      <c r="I71" s="199"/>
      <c r="J71" s="200"/>
      <c r="K71" s="215">
        <f>ROUND(G71*H71,2)</f>
        <v>5.81</v>
      </c>
      <c r="L71" s="257"/>
    </row>
    <row r="72" spans="2:12" s="174" customFormat="1" ht="15" customHeight="1">
      <c r="B72" s="227" t="s">
        <v>274</v>
      </c>
      <c r="C72" s="185"/>
      <c r="D72" s="185"/>
      <c r="E72" s="185"/>
      <c r="F72" s="186" t="s">
        <v>261</v>
      </c>
      <c r="G72" s="214">
        <v>0.2</v>
      </c>
      <c r="H72" s="213">
        <v>4.5</v>
      </c>
      <c r="I72" s="199"/>
      <c r="J72" s="200"/>
      <c r="K72" s="215">
        <f>ROUND(G72*H72,2)</f>
        <v>0.9</v>
      </c>
      <c r="L72" s="257"/>
    </row>
    <row r="73" spans="2:12" s="174" customFormat="1" ht="15" customHeight="1">
      <c r="B73" s="227" t="s">
        <v>275</v>
      </c>
      <c r="C73" s="185"/>
      <c r="D73" s="185"/>
      <c r="E73" s="185"/>
      <c r="F73" s="186" t="s">
        <v>276</v>
      </c>
      <c r="G73" s="214">
        <v>2</v>
      </c>
      <c r="H73" s="213">
        <v>54</v>
      </c>
      <c r="I73" s="199"/>
      <c r="J73" s="200"/>
      <c r="K73" s="215">
        <f>ROUND(G73*H73,2)</f>
        <v>108</v>
      </c>
      <c r="L73" s="257"/>
    </row>
    <row r="74" spans="2:12" s="174" customFormat="1" ht="15" customHeight="1">
      <c r="B74" s="227" t="s">
        <v>277</v>
      </c>
      <c r="C74" s="185"/>
      <c r="D74" s="185"/>
      <c r="E74" s="185"/>
      <c r="F74" s="186" t="s">
        <v>251</v>
      </c>
      <c r="G74" s="214">
        <v>0.34</v>
      </c>
      <c r="H74" s="213">
        <v>86</v>
      </c>
      <c r="I74" s="199"/>
      <c r="J74" s="200"/>
      <c r="K74" s="215">
        <f>ROUND(G74*H74,2)</f>
        <v>29.24</v>
      </c>
    </row>
    <row r="75" spans="2:12" s="174" customFormat="1" ht="15" customHeight="1">
      <c r="B75" s="209" t="s">
        <v>231</v>
      </c>
      <c r="C75" s="210"/>
      <c r="D75" s="210"/>
      <c r="E75" s="210"/>
      <c r="F75" s="218"/>
      <c r="G75" s="194" t="s">
        <v>232</v>
      </c>
      <c r="H75" s="195"/>
      <c r="I75" s="219"/>
      <c r="J75" s="219"/>
      <c r="K75" s="221">
        <f>SUM(K70:K74)</f>
        <v>149.84</v>
      </c>
    </row>
    <row r="76" spans="2:12" s="174" customFormat="1" ht="15" customHeight="1">
      <c r="B76" s="209" t="s">
        <v>278</v>
      </c>
      <c r="C76" s="210"/>
      <c r="D76" s="210"/>
      <c r="E76" s="210"/>
      <c r="F76" s="218"/>
      <c r="G76" s="210"/>
      <c r="H76" s="218"/>
      <c r="I76" s="210"/>
      <c r="J76" s="210"/>
      <c r="K76" s="258">
        <f>SUM(K68+K75)</f>
        <v>258.2296</v>
      </c>
    </row>
    <row r="77" spans="2:12" s="174" customFormat="1" ht="15" customHeight="1">
      <c r="B77" s="209" t="s">
        <v>234</v>
      </c>
      <c r="C77" s="210"/>
      <c r="D77" s="203">
        <f>'Folha Rosto Comp. P. Unit. '!B5</f>
        <v>0.3</v>
      </c>
      <c r="E77" s="210"/>
      <c r="F77" s="218"/>
      <c r="G77" s="210"/>
      <c r="H77" s="218"/>
      <c r="I77" s="210"/>
      <c r="J77" s="185"/>
      <c r="K77" s="202">
        <f>ROUND(K76*D77,2)</f>
        <v>77.47</v>
      </c>
    </row>
    <row r="78" spans="2:12" s="174" customFormat="1" ht="15" customHeight="1">
      <c r="B78" s="436" t="s">
        <v>235</v>
      </c>
      <c r="C78" s="436"/>
      <c r="D78" s="436"/>
      <c r="E78" s="436"/>
      <c r="F78" s="436"/>
      <c r="G78" s="436"/>
      <c r="H78" s="436"/>
      <c r="I78" s="436"/>
      <c r="J78" s="436"/>
      <c r="K78" s="221">
        <f>SUM(K76:K77)</f>
        <v>335.69960000000003</v>
      </c>
    </row>
    <row r="79" spans="2:12" s="174" customFormat="1" ht="15" customHeight="1">
      <c r="B79" s="259"/>
      <c r="C79" s="260"/>
      <c r="D79" s="260"/>
      <c r="E79" s="260"/>
      <c r="F79" s="260"/>
      <c r="G79" s="260"/>
      <c r="H79" s="260"/>
      <c r="I79" s="260"/>
      <c r="J79" s="260"/>
      <c r="K79" s="261"/>
    </row>
    <row r="80" spans="2:12" s="174" customFormat="1" ht="15" customHeight="1">
      <c r="B80" s="206">
        <v>5</v>
      </c>
      <c r="C80" s="181" t="s">
        <v>216</v>
      </c>
      <c r="D80" s="196" t="s">
        <v>279</v>
      </c>
      <c r="E80" s="196"/>
      <c r="F80" s="195"/>
      <c r="G80" s="196"/>
      <c r="H80" s="195"/>
      <c r="I80" s="207"/>
      <c r="J80" s="241" t="s">
        <v>218</v>
      </c>
      <c r="K80" s="242" t="s">
        <v>280</v>
      </c>
    </row>
    <row r="81" spans="2:11" s="174" customFormat="1" ht="15" customHeight="1">
      <c r="B81" s="184" t="s">
        <v>220</v>
      </c>
      <c r="C81" s="185"/>
      <c r="D81" s="185"/>
      <c r="E81" s="243"/>
      <c r="F81" s="186" t="s">
        <v>221</v>
      </c>
      <c r="G81" s="186" t="s">
        <v>222</v>
      </c>
      <c r="H81" s="223" t="s">
        <v>281</v>
      </c>
      <c r="I81" s="434" t="s">
        <v>224</v>
      </c>
      <c r="J81" s="434"/>
      <c r="K81" s="434"/>
    </row>
    <row r="82" spans="2:11" s="174" customFormat="1" ht="15" customHeight="1">
      <c r="B82" s="184" t="s">
        <v>245</v>
      </c>
      <c r="C82" s="185"/>
      <c r="D82" s="185"/>
      <c r="E82" s="185"/>
      <c r="F82" s="186" t="s">
        <v>244</v>
      </c>
      <c r="G82" s="213">
        <v>219.9</v>
      </c>
      <c r="H82" s="214">
        <f>'Folha Rosto Comp. P. Unit. '!D8</f>
        <v>1.64</v>
      </c>
      <c r="I82" s="200"/>
      <c r="J82" s="200"/>
      <c r="K82" s="215">
        <f>ROUND(G82*H82,2)</f>
        <v>360.64</v>
      </c>
    </row>
    <row r="83" spans="2:11" s="174" customFormat="1" ht="15" customHeight="1">
      <c r="B83" s="184"/>
      <c r="C83" s="185"/>
      <c r="D83" s="216" t="s">
        <v>246</v>
      </c>
      <c r="E83" s="185"/>
      <c r="F83" s="186"/>
      <c r="G83" s="213"/>
      <c r="H83" s="213"/>
      <c r="I83" s="200"/>
      <c r="J83" s="200"/>
      <c r="K83" s="201">
        <f>SUM(K82)</f>
        <v>360.64</v>
      </c>
    </row>
    <row r="84" spans="2:11" s="174" customFormat="1" ht="15" customHeight="1">
      <c r="B84" s="184" t="s">
        <v>225</v>
      </c>
      <c r="C84" s="185"/>
      <c r="D84" s="185"/>
      <c r="E84" s="185"/>
      <c r="F84" s="186"/>
      <c r="G84" s="217">
        <f>'Folha Rosto Comp. P. Unit. '!B4</f>
        <v>1.26</v>
      </c>
      <c r="H84" s="186"/>
      <c r="I84" s="185"/>
      <c r="J84" s="185"/>
      <c r="K84" s="201">
        <f>K83*G84</f>
        <v>454.40639999999996</v>
      </c>
    </row>
    <row r="85" spans="2:11" s="174" customFormat="1" ht="15" customHeight="1">
      <c r="B85" s="209"/>
      <c r="C85" s="210"/>
      <c r="D85" s="210"/>
      <c r="E85" s="210"/>
      <c r="F85" s="218"/>
      <c r="G85" s="194" t="s">
        <v>248</v>
      </c>
      <c r="H85" s="195"/>
      <c r="I85" s="219"/>
      <c r="J85" s="219"/>
      <c r="K85" s="221">
        <f>SUM(K83:K84)</f>
        <v>815.04639999999995</v>
      </c>
    </row>
    <row r="86" spans="2:11" s="174" customFormat="1" ht="15" customHeight="1">
      <c r="B86" s="438" t="s">
        <v>282</v>
      </c>
      <c r="C86" s="438"/>
      <c r="D86" s="438"/>
      <c r="E86" s="438"/>
      <c r="F86" s="198" t="s">
        <v>221</v>
      </c>
      <c r="G86" s="222" t="s">
        <v>249</v>
      </c>
      <c r="H86" s="222" t="s">
        <v>223</v>
      </c>
      <c r="I86" s="439" t="s">
        <v>224</v>
      </c>
      <c r="J86" s="439"/>
      <c r="K86" s="439"/>
    </row>
    <row r="87" spans="2:11" s="174" customFormat="1" ht="15" customHeight="1">
      <c r="B87" s="184"/>
      <c r="C87" s="185"/>
      <c r="D87" s="210"/>
      <c r="E87" s="210"/>
      <c r="F87" s="198"/>
      <c r="G87" s="214"/>
      <c r="H87" s="214"/>
      <c r="I87" s="255"/>
      <c r="J87" s="256"/>
      <c r="K87" s="215"/>
    </row>
    <row r="88" spans="2:11" s="174" customFormat="1" ht="15" customHeight="1">
      <c r="B88" s="184"/>
      <c r="C88" s="185"/>
      <c r="D88" s="185"/>
      <c r="E88" s="185"/>
      <c r="F88" s="186"/>
      <c r="G88" s="214"/>
      <c r="H88" s="213"/>
      <c r="I88" s="199"/>
      <c r="J88" s="200"/>
      <c r="K88" s="215"/>
    </row>
    <row r="89" spans="2:11" s="174" customFormat="1" ht="15" customHeight="1">
      <c r="B89" s="184"/>
      <c r="C89" s="185"/>
      <c r="D89" s="185"/>
      <c r="E89" s="185"/>
      <c r="F89" s="186"/>
      <c r="G89" s="214"/>
      <c r="H89" s="213"/>
      <c r="I89" s="199"/>
      <c r="J89" s="200"/>
      <c r="K89" s="215"/>
    </row>
    <row r="90" spans="2:11" s="174" customFormat="1" ht="15" customHeight="1">
      <c r="B90" s="184"/>
      <c r="C90" s="185"/>
      <c r="D90" s="185"/>
      <c r="E90" s="185"/>
      <c r="F90" s="186"/>
      <c r="G90" s="214"/>
      <c r="H90" s="213"/>
      <c r="I90" s="199"/>
      <c r="J90" s="200"/>
      <c r="K90" s="215"/>
    </row>
    <row r="91" spans="2:11" s="174" customFormat="1" ht="15" customHeight="1">
      <c r="B91" s="209"/>
      <c r="C91" s="210"/>
      <c r="D91" s="210"/>
      <c r="E91" s="210"/>
      <c r="F91" s="218"/>
      <c r="G91" s="194" t="s">
        <v>283</v>
      </c>
      <c r="H91" s="195"/>
      <c r="I91" s="219"/>
      <c r="J91" s="219"/>
      <c r="K91" s="221"/>
    </row>
    <row r="92" spans="2:11" s="174" customFormat="1" ht="15" customHeight="1">
      <c r="B92" s="209" t="s">
        <v>278</v>
      </c>
      <c r="C92" s="210"/>
      <c r="D92" s="210"/>
      <c r="E92" s="210"/>
      <c r="F92" s="218"/>
      <c r="G92" s="210"/>
      <c r="H92" s="218"/>
      <c r="I92" s="210"/>
      <c r="J92" s="210"/>
      <c r="K92" s="258">
        <f>SUM(K85,K91)</f>
        <v>815.04639999999995</v>
      </c>
    </row>
    <row r="93" spans="2:11" s="174" customFormat="1" ht="15" customHeight="1">
      <c r="B93" s="209" t="s">
        <v>234</v>
      </c>
      <c r="C93" s="210"/>
      <c r="D93" s="203">
        <f>'Folha Rosto Comp. P. Unit. '!B5</f>
        <v>0.3</v>
      </c>
      <c r="E93" s="210"/>
      <c r="F93" s="218"/>
      <c r="G93" s="210"/>
      <c r="H93" s="218"/>
      <c r="I93" s="210"/>
      <c r="J93" s="185"/>
      <c r="K93" s="202">
        <f>ROUND(K92*D93,2)</f>
        <v>244.51</v>
      </c>
    </row>
    <row r="94" spans="2:11" s="174" customFormat="1" ht="15" customHeight="1">
      <c r="B94" s="436" t="s">
        <v>235</v>
      </c>
      <c r="C94" s="436"/>
      <c r="D94" s="436"/>
      <c r="E94" s="436"/>
      <c r="F94" s="436"/>
      <c r="G94" s="436"/>
      <c r="H94" s="436"/>
      <c r="I94" s="436"/>
      <c r="J94" s="436"/>
      <c r="K94" s="221">
        <f>SUM(K92:K93)-0.01</f>
        <v>1059.5463999999999</v>
      </c>
    </row>
    <row r="95" spans="2:11" s="174" customFormat="1" ht="15" customHeight="1">
      <c r="B95" s="259"/>
      <c r="C95" s="260"/>
      <c r="D95" s="260"/>
      <c r="E95" s="260"/>
      <c r="F95" s="260"/>
      <c r="G95" s="260"/>
      <c r="H95" s="260"/>
      <c r="I95" s="260"/>
      <c r="J95" s="260"/>
      <c r="K95" s="261"/>
    </row>
    <row r="96" spans="2:11" s="174" customFormat="1" ht="15" customHeight="1">
      <c r="B96" s="206">
        <v>6</v>
      </c>
      <c r="C96" s="181" t="s">
        <v>216</v>
      </c>
      <c r="D96" s="196" t="s">
        <v>284</v>
      </c>
      <c r="E96" s="196"/>
      <c r="F96" s="195"/>
      <c r="G96" s="196"/>
      <c r="H96" s="195"/>
      <c r="I96" s="262"/>
      <c r="J96" s="263" t="s">
        <v>218</v>
      </c>
      <c r="K96" s="264" t="s">
        <v>285</v>
      </c>
    </row>
    <row r="97" spans="2:11" s="174" customFormat="1" ht="15" customHeight="1">
      <c r="B97" s="239" t="s">
        <v>220</v>
      </c>
      <c r="C97" s="236"/>
      <c r="D97" s="236"/>
      <c r="E97" s="265"/>
      <c r="F97" s="266" t="s">
        <v>221</v>
      </c>
      <c r="G97" s="266" t="s">
        <v>222</v>
      </c>
      <c r="H97" s="267" t="s">
        <v>223</v>
      </c>
      <c r="I97" s="440" t="s">
        <v>224</v>
      </c>
      <c r="J97" s="440"/>
      <c r="K97" s="440"/>
    </row>
    <row r="98" spans="2:11" s="174" customFormat="1" ht="15" customHeight="1">
      <c r="B98" s="268" t="s">
        <v>286</v>
      </c>
      <c r="C98" s="269"/>
      <c r="D98" s="269"/>
      <c r="E98" s="269"/>
      <c r="F98" s="270" t="s">
        <v>244</v>
      </c>
      <c r="G98" s="271">
        <f>219.9/4</f>
        <v>54.975000000000001</v>
      </c>
      <c r="H98" s="272">
        <v>13.65</v>
      </c>
      <c r="I98" s="273"/>
      <c r="J98" s="273"/>
      <c r="K98" s="274">
        <f>H98*G98</f>
        <v>750.40875000000005</v>
      </c>
    </row>
    <row r="99" spans="2:11" s="174" customFormat="1" ht="15" customHeight="1">
      <c r="B99" s="184" t="s">
        <v>287</v>
      </c>
      <c r="C99" s="185"/>
      <c r="D99" s="185"/>
      <c r="E99" s="185"/>
      <c r="F99" s="186" t="s">
        <v>244</v>
      </c>
      <c r="G99" s="213">
        <v>219.9</v>
      </c>
      <c r="H99" s="275">
        <f>7.45*1.1029</f>
        <v>8.2166049999999995</v>
      </c>
      <c r="I99" s="276"/>
      <c r="J99" s="276"/>
      <c r="K99" s="277">
        <f>H99*G99</f>
        <v>1806.8314395</v>
      </c>
    </row>
    <row r="100" spans="2:11" s="174" customFormat="1" ht="15" customHeight="1">
      <c r="B100" s="184" t="s">
        <v>288</v>
      </c>
      <c r="C100" s="185"/>
      <c r="D100" s="216"/>
      <c r="E100" s="185"/>
      <c r="F100" s="186" t="s">
        <v>244</v>
      </c>
      <c r="G100" s="213">
        <v>219.9</v>
      </c>
      <c r="H100" s="188">
        <f>4.5*1.1029</f>
        <v>4.96305</v>
      </c>
      <c r="I100" s="276"/>
      <c r="J100" s="276"/>
      <c r="K100" s="277">
        <f>H100*G100</f>
        <v>1091.374695</v>
      </c>
    </row>
    <row r="101" spans="2:11" s="174" customFormat="1" ht="15" customHeight="1">
      <c r="B101" s="184" t="s">
        <v>289</v>
      </c>
      <c r="C101" s="185"/>
      <c r="D101" s="216"/>
      <c r="E101" s="185"/>
      <c r="F101" s="186" t="s">
        <v>244</v>
      </c>
      <c r="G101" s="213">
        <v>219.9</v>
      </c>
      <c r="H101" s="188">
        <f>1.59*1.1029</f>
        <v>1.753611</v>
      </c>
      <c r="I101" s="276"/>
      <c r="J101" s="276"/>
      <c r="K101" s="277">
        <f>H101*G101</f>
        <v>385.61905890000003</v>
      </c>
    </row>
    <row r="102" spans="2:11" s="174" customFormat="1" ht="15" customHeight="1">
      <c r="B102" s="184"/>
      <c r="C102" s="185"/>
      <c r="D102" s="216" t="s">
        <v>246</v>
      </c>
      <c r="E102" s="185"/>
      <c r="F102" s="186"/>
      <c r="G102" s="213"/>
      <c r="H102" s="188"/>
      <c r="I102" s="276"/>
      <c r="J102" s="276"/>
      <c r="K102" s="277">
        <f>SUM(K98:K101)</f>
        <v>4034.2339434000005</v>
      </c>
    </row>
    <row r="103" spans="2:11" s="174" customFormat="1" ht="15" customHeight="1">
      <c r="B103" s="184"/>
      <c r="C103" s="185"/>
      <c r="D103" s="185"/>
      <c r="E103" s="185"/>
      <c r="F103" s="186"/>
      <c r="G103" s="217">
        <v>0.8</v>
      </c>
      <c r="H103" s="191"/>
      <c r="I103" s="278"/>
      <c r="J103" s="278"/>
      <c r="K103" s="277">
        <f>K102*G103</f>
        <v>3227.3871547200006</v>
      </c>
    </row>
    <row r="104" spans="2:11" s="174" customFormat="1" ht="15" customHeight="1">
      <c r="B104" s="209"/>
      <c r="C104" s="210"/>
      <c r="D104" s="210"/>
      <c r="E104" s="210"/>
      <c r="F104" s="218"/>
      <c r="G104" s="194" t="s">
        <v>248</v>
      </c>
      <c r="H104" s="195"/>
      <c r="I104" s="250"/>
      <c r="J104" s="250"/>
      <c r="K104" s="251">
        <f>SUM(K100:K103)</f>
        <v>8738.6148520200004</v>
      </c>
    </row>
    <row r="105" spans="2:11" s="174" customFormat="1" ht="15" customHeight="1">
      <c r="B105" s="438" t="s">
        <v>282</v>
      </c>
      <c r="C105" s="438"/>
      <c r="D105" s="438"/>
      <c r="E105" s="438"/>
      <c r="F105" s="198" t="s">
        <v>221</v>
      </c>
      <c r="G105" s="279" t="s">
        <v>249</v>
      </c>
      <c r="H105" s="279" t="s">
        <v>223</v>
      </c>
      <c r="I105" s="441" t="s">
        <v>224</v>
      </c>
      <c r="J105" s="441"/>
      <c r="K105" s="441"/>
    </row>
    <row r="106" spans="2:11" s="174" customFormat="1" ht="15" customHeight="1">
      <c r="B106" s="184"/>
      <c r="C106" s="185"/>
      <c r="D106" s="185"/>
      <c r="E106" s="185"/>
      <c r="F106" s="186"/>
      <c r="G106" s="213"/>
      <c r="H106" s="213"/>
      <c r="I106" s="199"/>
      <c r="J106" s="200"/>
      <c r="K106" s="201"/>
    </row>
    <row r="107" spans="2:11" s="174" customFormat="1" ht="15" customHeight="1">
      <c r="B107" s="184"/>
      <c r="C107" s="185"/>
      <c r="D107" s="185"/>
      <c r="E107" s="185"/>
      <c r="F107" s="186"/>
      <c r="G107" s="229"/>
      <c r="H107" s="229"/>
      <c r="I107" s="280"/>
      <c r="J107" s="230"/>
      <c r="K107" s="231"/>
    </row>
    <row r="108" spans="2:11" s="174" customFormat="1" ht="15" customHeight="1">
      <c r="B108" s="184"/>
      <c r="C108" s="185"/>
      <c r="D108" s="185"/>
      <c r="E108" s="185"/>
      <c r="F108" s="191"/>
      <c r="G108" s="194" t="s">
        <v>283</v>
      </c>
      <c r="H108" s="281"/>
      <c r="I108" s="282"/>
      <c r="J108" s="283"/>
      <c r="K108" s="284"/>
    </row>
    <row r="109" spans="2:11" s="174" customFormat="1" ht="15" customHeight="1">
      <c r="B109" s="209" t="s">
        <v>278</v>
      </c>
      <c r="C109" s="210"/>
      <c r="D109" s="210"/>
      <c r="E109" s="210"/>
      <c r="F109" s="218"/>
      <c r="G109" s="185"/>
      <c r="H109" s="193"/>
      <c r="I109" s="185"/>
      <c r="J109" s="185"/>
      <c r="K109" s="202">
        <f>SUM(K108,K104)</f>
        <v>8738.6148520200004</v>
      </c>
    </row>
    <row r="110" spans="2:11" s="174" customFormat="1" ht="15" customHeight="1">
      <c r="B110" s="209" t="s">
        <v>234</v>
      </c>
      <c r="C110" s="210"/>
      <c r="D110" s="203">
        <f>'Folha Rosto Comp. P. Unit. '!B5</f>
        <v>0.3</v>
      </c>
      <c r="E110" s="210"/>
      <c r="F110" s="218"/>
      <c r="G110" s="210"/>
      <c r="H110" s="218"/>
      <c r="I110" s="210"/>
      <c r="J110" s="185"/>
      <c r="K110" s="202">
        <f>ROUND(K109*D110,2)</f>
        <v>2621.58</v>
      </c>
    </row>
    <row r="111" spans="2:11" s="174" customFormat="1" ht="15" customHeight="1">
      <c r="B111" s="436" t="s">
        <v>235</v>
      </c>
      <c r="C111" s="436"/>
      <c r="D111" s="436"/>
      <c r="E111" s="436"/>
      <c r="F111" s="436"/>
      <c r="G111" s="436"/>
      <c r="H111" s="436"/>
      <c r="I111" s="436"/>
      <c r="J111" s="436"/>
      <c r="K111" s="221">
        <f>SUM(K109:K110)</f>
        <v>11360.19485202</v>
      </c>
    </row>
    <row r="112" spans="2:11" s="174" customFormat="1" ht="15" customHeight="1">
      <c r="B112" s="262"/>
      <c r="C112" s="285"/>
      <c r="D112" s="285"/>
      <c r="E112" s="285"/>
      <c r="F112" s="260"/>
      <c r="G112" s="285"/>
      <c r="H112" s="260"/>
      <c r="I112" s="286"/>
      <c r="J112" s="286"/>
      <c r="K112" s="287"/>
    </row>
    <row r="113" spans="2:11" s="174" customFormat="1" ht="15" customHeight="1">
      <c r="B113" s="206">
        <v>7</v>
      </c>
      <c r="C113" s="181" t="s">
        <v>216</v>
      </c>
      <c r="D113" s="196" t="s">
        <v>290</v>
      </c>
      <c r="E113" s="196"/>
      <c r="F113" s="259"/>
      <c r="G113" s="196"/>
      <c r="H113" s="195"/>
      <c r="I113" s="207"/>
      <c r="J113" s="182" t="s">
        <v>218</v>
      </c>
      <c r="K113" s="242" t="s">
        <v>219</v>
      </c>
    </row>
    <row r="114" spans="2:11" s="174" customFormat="1" ht="15" customHeight="1">
      <c r="B114" s="184" t="s">
        <v>220</v>
      </c>
      <c r="C114" s="185"/>
      <c r="D114" s="185"/>
      <c r="E114" s="185"/>
      <c r="F114" s="198" t="s">
        <v>221</v>
      </c>
      <c r="G114" s="288" t="s">
        <v>222</v>
      </c>
      <c r="H114" s="223" t="s">
        <v>223</v>
      </c>
      <c r="I114" s="434" t="s">
        <v>224</v>
      </c>
      <c r="J114" s="434"/>
      <c r="K114" s="434"/>
    </row>
    <row r="115" spans="2:11" s="174" customFormat="1" ht="15" customHeight="1">
      <c r="B115" s="184" t="s">
        <v>291</v>
      </c>
      <c r="C115" s="185"/>
      <c r="D115" s="185"/>
      <c r="E115" s="185"/>
      <c r="F115" s="186" t="s">
        <v>219</v>
      </c>
      <c r="G115" s="289">
        <v>1</v>
      </c>
      <c r="H115" s="290">
        <v>300</v>
      </c>
      <c r="I115" s="200"/>
      <c r="J115" s="200"/>
      <c r="K115" s="215">
        <f>ROUND(G115*H115,2)</f>
        <v>300</v>
      </c>
    </row>
    <row r="116" spans="2:11" s="174" customFormat="1" ht="15" customHeight="1">
      <c r="B116" s="184" t="s">
        <v>292</v>
      </c>
      <c r="C116" s="185"/>
      <c r="D116" s="185"/>
      <c r="E116" s="185"/>
      <c r="F116" s="186" t="s">
        <v>219</v>
      </c>
      <c r="G116" s="289">
        <v>1</v>
      </c>
      <c r="H116" s="214">
        <v>300</v>
      </c>
      <c r="I116" s="200"/>
      <c r="J116" s="200"/>
      <c r="K116" s="215">
        <f>ROUND(G116*H116,2)</f>
        <v>300</v>
      </c>
    </row>
    <row r="117" spans="2:11" s="174" customFormat="1" ht="15" customHeight="1">
      <c r="B117" s="184" t="s">
        <v>293</v>
      </c>
      <c r="C117" s="185"/>
      <c r="D117" s="185"/>
      <c r="E117" s="185"/>
      <c r="F117" s="186" t="s">
        <v>219</v>
      </c>
      <c r="G117" s="289">
        <v>1</v>
      </c>
      <c r="H117" s="213">
        <v>200</v>
      </c>
      <c r="I117" s="200"/>
      <c r="J117" s="200"/>
      <c r="K117" s="215">
        <f>ROUND(G117*H117,2)</f>
        <v>200</v>
      </c>
    </row>
    <row r="118" spans="2:11" s="174" customFormat="1" ht="15" customHeight="1">
      <c r="B118" s="184" t="s">
        <v>294</v>
      </c>
      <c r="C118" s="185"/>
      <c r="D118" s="185"/>
      <c r="E118" s="185"/>
      <c r="F118" s="186" t="s">
        <v>219</v>
      </c>
      <c r="G118" s="289">
        <v>1</v>
      </c>
      <c r="H118" s="245">
        <v>400</v>
      </c>
      <c r="I118" s="230"/>
      <c r="J118" s="230"/>
      <c r="K118" s="215">
        <f>ROUND(G118*H118,2)</f>
        <v>400</v>
      </c>
    </row>
    <row r="119" spans="2:11" s="174" customFormat="1" ht="15" customHeight="1">
      <c r="B119" s="209"/>
      <c r="C119" s="210"/>
      <c r="D119" s="210"/>
      <c r="E119" s="210"/>
      <c r="F119" s="198"/>
      <c r="G119" s="196" t="s">
        <v>248</v>
      </c>
      <c r="H119" s="195"/>
      <c r="I119" s="219"/>
      <c r="J119" s="219"/>
      <c r="K119" s="221">
        <f>SUM(K115:K118)</f>
        <v>1200</v>
      </c>
    </row>
    <row r="120" spans="2:11" s="174" customFormat="1" ht="15" customHeight="1">
      <c r="B120" s="442" t="s">
        <v>282</v>
      </c>
      <c r="C120" s="442"/>
      <c r="D120" s="442"/>
      <c r="E120" s="442"/>
      <c r="F120" s="222" t="s">
        <v>221</v>
      </c>
      <c r="G120" s="291" t="s">
        <v>249</v>
      </c>
      <c r="H120" s="222" t="s">
        <v>223</v>
      </c>
      <c r="I120" s="435" t="s">
        <v>224</v>
      </c>
      <c r="J120" s="435"/>
      <c r="K120" s="435"/>
    </row>
    <row r="121" spans="2:11" s="174" customFormat="1" ht="15" customHeight="1">
      <c r="B121" s="184"/>
      <c r="C121" s="185"/>
      <c r="D121" s="210"/>
      <c r="E121" s="210"/>
      <c r="F121" s="198"/>
      <c r="G121" s="211"/>
      <c r="H121" s="292"/>
      <c r="I121" s="293"/>
      <c r="J121" s="294"/>
      <c r="K121" s="215">
        <f>ROUND(G121*H121,2)</f>
        <v>0</v>
      </c>
    </row>
    <row r="122" spans="2:11" s="174" customFormat="1" ht="15" customHeight="1">
      <c r="B122" s="209" t="s">
        <v>231</v>
      </c>
      <c r="C122" s="210"/>
      <c r="D122" s="210"/>
      <c r="E122" s="210"/>
      <c r="F122" s="218"/>
      <c r="G122" s="194" t="s">
        <v>232</v>
      </c>
      <c r="H122" s="195"/>
      <c r="I122" s="219"/>
      <c r="J122" s="219"/>
      <c r="K122" s="221">
        <f>SUM(K121:K121)</f>
        <v>0</v>
      </c>
    </row>
    <row r="123" spans="2:11" s="174" customFormat="1" ht="15" customHeight="1">
      <c r="B123" s="209" t="s">
        <v>278</v>
      </c>
      <c r="C123" s="210"/>
      <c r="D123" s="210"/>
      <c r="E123" s="210"/>
      <c r="F123" s="218"/>
      <c r="G123" s="210"/>
      <c r="H123" s="218"/>
      <c r="I123" s="210"/>
      <c r="J123" s="210"/>
      <c r="K123" s="258">
        <f>SUM(K119+K122)</f>
        <v>1200</v>
      </c>
    </row>
    <row r="124" spans="2:11" s="174" customFormat="1" ht="15" customHeight="1">
      <c r="B124" s="209" t="s">
        <v>234</v>
      </c>
      <c r="C124" s="210"/>
      <c r="D124" s="203">
        <f>'Folha Rosto Comp. P. Unit. '!B5</f>
        <v>0.3</v>
      </c>
      <c r="E124" s="210"/>
      <c r="F124" s="218"/>
      <c r="G124" s="210"/>
      <c r="H124" s="218"/>
      <c r="I124" s="210"/>
      <c r="J124" s="185"/>
      <c r="K124" s="202">
        <f>ROUND(K123*D124,2)</f>
        <v>360</v>
      </c>
    </row>
    <row r="125" spans="2:11" s="174" customFormat="1" ht="15" customHeight="1">
      <c r="B125" s="436" t="s">
        <v>295</v>
      </c>
      <c r="C125" s="436"/>
      <c r="D125" s="436"/>
      <c r="E125" s="436"/>
      <c r="F125" s="436"/>
      <c r="G125" s="436"/>
      <c r="H125" s="436"/>
      <c r="I125" s="436"/>
      <c r="J125" s="436"/>
      <c r="K125" s="221">
        <f>SUM(K123:K124)</f>
        <v>1560</v>
      </c>
    </row>
    <row r="126" spans="2:11" s="174" customFormat="1" ht="15" customHeight="1">
      <c r="B126" s="285"/>
      <c r="C126" s="285"/>
      <c r="D126" s="196"/>
      <c r="E126" s="285"/>
      <c r="F126" s="260"/>
      <c r="G126" s="285"/>
      <c r="H126" s="260"/>
      <c r="I126" s="286"/>
      <c r="J126" s="286"/>
      <c r="K126" s="287"/>
    </row>
    <row r="127" spans="2:11" s="174" customFormat="1" ht="15" customHeight="1"/>
    <row r="128" spans="2:11" s="174" customFormat="1" ht="15" customHeight="1">
      <c r="B128" s="206">
        <v>8</v>
      </c>
      <c r="C128" s="295" t="s">
        <v>216</v>
      </c>
      <c r="D128" s="443" t="s">
        <v>296</v>
      </c>
      <c r="E128" s="443"/>
      <c r="F128" s="443"/>
      <c r="G128" s="443"/>
      <c r="H128" s="443"/>
      <c r="I128" s="443"/>
      <c r="J128" s="296" t="s">
        <v>218</v>
      </c>
      <c r="K128" s="297" t="s">
        <v>297</v>
      </c>
    </row>
    <row r="129" spans="2:11" s="174" customFormat="1" ht="15" customHeight="1">
      <c r="B129" s="298" t="s">
        <v>220</v>
      </c>
      <c r="C129" s="299"/>
      <c r="D129" s="189"/>
      <c r="E129" s="243"/>
      <c r="F129" s="186" t="s">
        <v>221</v>
      </c>
      <c r="G129" s="186" t="s">
        <v>222</v>
      </c>
      <c r="H129" s="186" t="s">
        <v>281</v>
      </c>
      <c r="I129" s="434" t="s">
        <v>224</v>
      </c>
      <c r="J129" s="434"/>
      <c r="K129" s="434"/>
    </row>
    <row r="130" spans="2:11" s="174" customFormat="1" ht="15" customHeight="1">
      <c r="B130" s="184" t="s">
        <v>298</v>
      </c>
      <c r="C130" s="185"/>
      <c r="D130" s="185"/>
      <c r="E130" s="185"/>
      <c r="F130" s="186" t="s">
        <v>244</v>
      </c>
      <c r="G130" s="300">
        <v>2.5999999999999999E-2</v>
      </c>
      <c r="H130" s="290">
        <f>'Folha Rosto Comp. P. Unit. '!D9</f>
        <v>2.81</v>
      </c>
      <c r="I130" s="199"/>
      <c r="J130" s="200"/>
      <c r="K130" s="215">
        <f>ROUND(G130*H130,2)</f>
        <v>7.0000000000000007E-2</v>
      </c>
    </row>
    <row r="131" spans="2:11" s="174" customFormat="1" ht="15" customHeight="1">
      <c r="B131" s="184" t="s">
        <v>299</v>
      </c>
      <c r="C131" s="185"/>
      <c r="D131" s="185"/>
      <c r="E131" s="185"/>
      <c r="F131" s="186" t="s">
        <v>244</v>
      </c>
      <c r="G131" s="300">
        <v>2.5999999999999999E-2</v>
      </c>
      <c r="H131" s="214">
        <f>'Folha Rosto Comp. P. Unit. '!D10</f>
        <v>1.9</v>
      </c>
      <c r="I131" s="199"/>
      <c r="J131" s="200"/>
      <c r="K131" s="215">
        <f>ROUND(G131*H131,2)</f>
        <v>0.05</v>
      </c>
    </row>
    <row r="132" spans="2:11" s="174" customFormat="1" ht="15" customHeight="1">
      <c r="B132" s="184" t="s">
        <v>243</v>
      </c>
      <c r="C132" s="185"/>
      <c r="D132" s="185"/>
      <c r="E132" s="185"/>
      <c r="F132" s="186" t="s">
        <v>244</v>
      </c>
      <c r="G132" s="274">
        <v>0.09</v>
      </c>
      <c r="H132" s="213">
        <f>'Folha Rosto Comp. P. Unit. '!D7</f>
        <v>2.56</v>
      </c>
      <c r="I132" s="199"/>
      <c r="J132" s="200"/>
      <c r="K132" s="215">
        <f>ROUND(G132*H132,2)</f>
        <v>0.23</v>
      </c>
    </row>
    <row r="133" spans="2:11" s="174" customFormat="1" ht="15" customHeight="1">
      <c r="B133" s="184" t="s">
        <v>300</v>
      </c>
      <c r="C133" s="185"/>
      <c r="D133" s="185"/>
      <c r="E133" s="185"/>
      <c r="F133" s="186" t="s">
        <v>244</v>
      </c>
      <c r="G133" s="274">
        <v>7.0000000000000007E-2</v>
      </c>
      <c r="H133" s="213">
        <f>'Folha Rosto Comp. P. Unit. '!D8</f>
        <v>1.64</v>
      </c>
      <c r="I133" s="199"/>
      <c r="J133" s="200"/>
      <c r="K133" s="201">
        <f>ROUND(G133*H133,2)</f>
        <v>0.11</v>
      </c>
    </row>
    <row r="134" spans="2:11" s="174" customFormat="1" ht="15" customHeight="1">
      <c r="B134" s="184"/>
      <c r="C134" s="185"/>
      <c r="D134" s="216" t="s">
        <v>246</v>
      </c>
      <c r="E134" s="185"/>
      <c r="F134" s="186"/>
      <c r="G134" s="274"/>
      <c r="H134" s="213"/>
      <c r="I134" s="199"/>
      <c r="J134" s="200"/>
      <c r="K134" s="201">
        <f>SUM(K130:K133)</f>
        <v>0.46</v>
      </c>
    </row>
    <row r="135" spans="2:11" s="174" customFormat="1" ht="15" customHeight="1">
      <c r="B135" s="184" t="s">
        <v>225</v>
      </c>
      <c r="C135" s="185"/>
      <c r="D135" s="185"/>
      <c r="E135" s="185"/>
      <c r="F135" s="186"/>
      <c r="G135" s="301">
        <f>'Folha Rosto Comp. P. Unit. '!B4</f>
        <v>1.26</v>
      </c>
      <c r="H135" s="186"/>
      <c r="I135" s="189"/>
      <c r="J135" s="185"/>
      <c r="K135" s="215">
        <f>K134*G135</f>
        <v>0.5796</v>
      </c>
    </row>
    <row r="136" spans="2:11" s="174" customFormat="1" ht="15" customHeight="1">
      <c r="B136" s="209"/>
      <c r="C136" s="210"/>
      <c r="D136" s="210"/>
      <c r="E136" s="210"/>
      <c r="F136" s="218"/>
      <c r="G136" s="194" t="s">
        <v>248</v>
      </c>
      <c r="H136" s="195"/>
      <c r="I136" s="196"/>
      <c r="J136" s="196"/>
      <c r="K136" s="221">
        <f>SUM(K134:K135)</f>
        <v>1.0396000000000001</v>
      </c>
    </row>
    <row r="137" spans="2:11" s="174" customFormat="1" ht="15" customHeight="1">
      <c r="B137" s="438" t="s">
        <v>270</v>
      </c>
      <c r="C137" s="438"/>
      <c r="D137" s="438"/>
      <c r="E137" s="438"/>
      <c r="F137" s="198" t="s">
        <v>221</v>
      </c>
      <c r="G137" s="198" t="s">
        <v>301</v>
      </c>
      <c r="H137" s="198" t="s">
        <v>223</v>
      </c>
      <c r="I137" s="435" t="s">
        <v>224</v>
      </c>
      <c r="J137" s="435"/>
      <c r="K137" s="435"/>
    </row>
    <row r="138" spans="2:11" s="174" customFormat="1" ht="15" customHeight="1">
      <c r="B138" s="184" t="s">
        <v>302</v>
      </c>
      <c r="C138" s="185"/>
      <c r="D138" s="210"/>
      <c r="E138" s="210"/>
      <c r="F138" s="198" t="s">
        <v>251</v>
      </c>
      <c r="G138" s="214">
        <v>1.4999999999999999E-2</v>
      </c>
      <c r="H138" s="214">
        <v>18</v>
      </c>
      <c r="I138" s="199"/>
      <c r="J138" s="200"/>
      <c r="K138" s="215">
        <f>ROUND(G138*H138,2)</f>
        <v>0.27</v>
      </c>
    </row>
    <row r="139" spans="2:11" s="174" customFormat="1" ht="15" customHeight="1">
      <c r="B139" s="184" t="s">
        <v>303</v>
      </c>
      <c r="C139" s="185"/>
      <c r="D139" s="185"/>
      <c r="E139" s="185"/>
      <c r="F139" s="186" t="s">
        <v>251</v>
      </c>
      <c r="G139" s="214">
        <v>0.01</v>
      </c>
      <c r="H139" s="213">
        <v>9</v>
      </c>
      <c r="I139" s="199"/>
      <c r="J139" s="200"/>
      <c r="K139" s="215">
        <f>ROUND(G139*H139,2)</f>
        <v>0.09</v>
      </c>
    </row>
    <row r="140" spans="2:11" s="174" customFormat="1" ht="15" customHeight="1">
      <c r="B140" s="184" t="s">
        <v>304</v>
      </c>
      <c r="C140" s="185"/>
      <c r="D140" s="185"/>
      <c r="E140" s="185"/>
      <c r="F140" s="186" t="s">
        <v>261</v>
      </c>
      <c r="G140" s="214">
        <v>1.2999999999999999E-2</v>
      </c>
      <c r="H140" s="213">
        <v>4.5</v>
      </c>
      <c r="I140" s="255"/>
      <c r="J140" s="256"/>
      <c r="K140" s="215">
        <f>ROUND(G140*H140,2)</f>
        <v>0.06</v>
      </c>
    </row>
    <row r="141" spans="2:11" s="174" customFormat="1" ht="15" customHeight="1">
      <c r="B141" s="184" t="s">
        <v>305</v>
      </c>
      <c r="C141" s="185"/>
      <c r="D141" s="185"/>
      <c r="E141" s="185"/>
      <c r="F141" s="186" t="s">
        <v>261</v>
      </c>
      <c r="G141" s="214">
        <v>0.02</v>
      </c>
      <c r="H141" s="213">
        <v>5.7</v>
      </c>
      <c r="I141" s="230"/>
      <c r="J141" s="230"/>
      <c r="K141" s="215">
        <f>ROUND(G141*H141,2)</f>
        <v>0.11</v>
      </c>
    </row>
    <row r="142" spans="2:11" s="174" customFormat="1" ht="15" customHeight="1">
      <c r="B142" s="184"/>
      <c r="C142" s="185"/>
      <c r="D142" s="185"/>
      <c r="E142" s="243"/>
      <c r="F142" s="186"/>
      <c r="G142" s="194" t="s">
        <v>306</v>
      </c>
      <c r="H142" s="302"/>
      <c r="I142" s="196"/>
      <c r="J142" s="196"/>
      <c r="K142" s="221">
        <f>SUM(K138:K141)</f>
        <v>0.53</v>
      </c>
    </row>
    <row r="143" spans="2:11" s="174" customFormat="1" ht="15" customHeight="1">
      <c r="B143" s="438" t="s">
        <v>307</v>
      </c>
      <c r="C143" s="438"/>
      <c r="D143" s="438"/>
      <c r="E143" s="438"/>
      <c r="F143" s="198" t="s">
        <v>221</v>
      </c>
      <c r="G143" s="198" t="s">
        <v>222</v>
      </c>
      <c r="H143" s="270" t="s">
        <v>223</v>
      </c>
      <c r="I143" s="435" t="s">
        <v>228</v>
      </c>
      <c r="J143" s="435"/>
      <c r="K143" s="435"/>
    </row>
    <row r="144" spans="2:11" s="174" customFormat="1" ht="15" customHeight="1">
      <c r="B144" s="184" t="s">
        <v>308</v>
      </c>
      <c r="C144" s="185"/>
      <c r="D144" s="185"/>
      <c r="E144" s="185"/>
      <c r="F144" s="186" t="s">
        <v>244</v>
      </c>
      <c r="G144" s="213">
        <v>0.02</v>
      </c>
      <c r="H144" s="213">
        <v>0.91</v>
      </c>
      <c r="I144" s="200"/>
      <c r="J144" s="303"/>
      <c r="K144" s="201">
        <f>G144*H144</f>
        <v>1.8200000000000001E-2</v>
      </c>
    </row>
    <row r="145" spans="2:11" s="174" customFormat="1" ht="15" customHeight="1">
      <c r="B145" s="184" t="s">
        <v>309</v>
      </c>
      <c r="C145" s="185"/>
      <c r="D145" s="185"/>
      <c r="E145" s="185"/>
      <c r="F145" s="186" t="s">
        <v>244</v>
      </c>
      <c r="G145" s="213">
        <v>0.01</v>
      </c>
      <c r="H145" s="213">
        <v>0.91</v>
      </c>
      <c r="I145" s="200"/>
      <c r="J145" s="304"/>
      <c r="K145" s="215">
        <f>G145*H145</f>
        <v>9.1000000000000004E-3</v>
      </c>
    </row>
    <row r="146" spans="2:11" s="174" customFormat="1" ht="15" customHeight="1">
      <c r="B146" s="184"/>
      <c r="C146" s="185"/>
      <c r="D146" s="185"/>
      <c r="E146" s="185"/>
      <c r="F146" s="193"/>
      <c r="G146" s="194" t="s">
        <v>310</v>
      </c>
      <c r="H146" s="302"/>
      <c r="I146" s="196"/>
      <c r="J146" s="196"/>
      <c r="K146" s="221">
        <f>SUM(K144:K145)</f>
        <v>2.7300000000000001E-2</v>
      </c>
    </row>
    <row r="147" spans="2:11" s="174" customFormat="1" ht="15" customHeight="1">
      <c r="B147" s="305" t="s">
        <v>311</v>
      </c>
      <c r="C147" s="278"/>
      <c r="D147" s="210"/>
      <c r="E147" s="210"/>
      <c r="F147" s="218"/>
      <c r="G147" s="210"/>
      <c r="H147" s="218"/>
      <c r="I147" s="210"/>
      <c r="J147" s="210"/>
      <c r="K147" s="258">
        <f>SUM(K136,K142,K146)</f>
        <v>1.5969000000000002</v>
      </c>
    </row>
    <row r="148" spans="2:11" s="174" customFormat="1" ht="15" customHeight="1">
      <c r="B148" s="306" t="s">
        <v>234</v>
      </c>
      <c r="C148" s="307"/>
      <c r="D148" s="308">
        <f>'Folha Rosto Comp. P. Unit. '!B5</f>
        <v>0.3</v>
      </c>
      <c r="E148" s="309"/>
      <c r="F148" s="310"/>
      <c r="G148" s="309"/>
      <c r="H148" s="310"/>
      <c r="I148" s="309"/>
      <c r="J148" s="309"/>
      <c r="K148" s="311">
        <f>ROUND(K147*D148,2)</f>
        <v>0.48</v>
      </c>
    </row>
    <row r="149" spans="2:11" s="174" customFormat="1" ht="15" customHeight="1">
      <c r="B149" s="436" t="s">
        <v>235</v>
      </c>
      <c r="C149" s="436"/>
      <c r="D149" s="436"/>
      <c r="E149" s="436"/>
      <c r="F149" s="436"/>
      <c r="G149" s="436"/>
      <c r="H149" s="436"/>
      <c r="I149" s="436"/>
      <c r="J149" s="436"/>
      <c r="K149" s="221">
        <f>SUM(K147:K148)</f>
        <v>2.0769000000000002</v>
      </c>
    </row>
    <row r="150" spans="2:11" s="174" customFormat="1" ht="15" customHeight="1">
      <c r="B150" s="436" t="s">
        <v>312</v>
      </c>
      <c r="C150" s="436"/>
      <c r="D150" s="436"/>
      <c r="E150" s="436"/>
      <c r="F150" s="436"/>
      <c r="G150" s="436"/>
      <c r="H150" s="436"/>
      <c r="I150" s="436"/>
      <c r="J150" s="436"/>
      <c r="K150" s="221">
        <f>K149*L172</f>
        <v>2076.9</v>
      </c>
    </row>
    <row r="151" spans="2:11" s="174" customFormat="1" ht="15" customHeight="1">
      <c r="E151" s="172"/>
      <c r="F151" s="176"/>
      <c r="H151" s="176"/>
      <c r="K151" s="177"/>
    </row>
    <row r="152" spans="2:11" s="174" customFormat="1" ht="15" customHeight="1">
      <c r="B152" s="206">
        <v>9</v>
      </c>
      <c r="C152" s="181" t="s">
        <v>216</v>
      </c>
      <c r="D152" s="196" t="s">
        <v>313</v>
      </c>
      <c r="E152" s="196"/>
      <c r="F152" s="195" t="s">
        <v>314</v>
      </c>
      <c r="G152" s="196">
        <v>18</v>
      </c>
      <c r="H152" s="195" t="s">
        <v>315</v>
      </c>
      <c r="I152" s="207"/>
      <c r="J152" s="241" t="s">
        <v>218</v>
      </c>
      <c r="K152" s="242" t="s">
        <v>316</v>
      </c>
    </row>
    <row r="153" spans="2:11" s="174" customFormat="1" ht="15" customHeight="1">
      <c r="B153" s="184" t="s">
        <v>220</v>
      </c>
      <c r="C153" s="185"/>
      <c r="D153" s="185"/>
      <c r="E153" s="243"/>
      <c r="F153" s="186" t="s">
        <v>221</v>
      </c>
      <c r="G153" s="186" t="s">
        <v>222</v>
      </c>
      <c r="H153" s="223" t="s">
        <v>223</v>
      </c>
      <c r="I153" s="434" t="s">
        <v>228</v>
      </c>
      <c r="J153" s="434"/>
      <c r="K153" s="434"/>
    </row>
    <row r="154" spans="2:11" s="174" customFormat="1" ht="15" customHeight="1">
      <c r="B154" s="209" t="s">
        <v>245</v>
      </c>
      <c r="C154" s="210"/>
      <c r="D154" s="210"/>
      <c r="E154" s="210"/>
      <c r="F154" s="198" t="s">
        <v>244</v>
      </c>
      <c r="G154" s="214">
        <v>1</v>
      </c>
      <c r="H154" s="214">
        <f>'Folha Rosto Comp. P. Unit. '!D8</f>
        <v>1.64</v>
      </c>
      <c r="I154" s="256"/>
      <c r="J154" s="256"/>
      <c r="K154" s="215">
        <f>ROUND(G154*H154,2)</f>
        <v>1.64</v>
      </c>
    </row>
    <row r="155" spans="2:11" s="174" customFormat="1" ht="15" customHeight="1">
      <c r="B155" s="184" t="s">
        <v>317</v>
      </c>
      <c r="C155" s="185"/>
      <c r="D155" s="185"/>
      <c r="E155" s="185"/>
      <c r="F155" s="186" t="s">
        <v>244</v>
      </c>
      <c r="G155" s="213">
        <v>0.1</v>
      </c>
      <c r="H155" s="213">
        <v>3.81</v>
      </c>
      <c r="I155" s="200"/>
      <c r="J155" s="200"/>
      <c r="K155" s="215">
        <f>ROUND(G155*H155,2)</f>
        <v>0.38</v>
      </c>
    </row>
    <row r="156" spans="2:11" s="174" customFormat="1" ht="15" customHeight="1">
      <c r="B156" s="184"/>
      <c r="C156" s="185"/>
      <c r="D156" s="216" t="s">
        <v>246</v>
      </c>
      <c r="E156" s="185"/>
      <c r="F156" s="186"/>
      <c r="G156" s="213"/>
      <c r="H156" s="213"/>
      <c r="I156" s="200"/>
      <c r="J156" s="200"/>
      <c r="K156" s="201">
        <f>SUM(K154:K155)</f>
        <v>2.02</v>
      </c>
    </row>
    <row r="157" spans="2:11" s="174" customFormat="1" ht="15" customHeight="1">
      <c r="B157" s="184" t="s">
        <v>225</v>
      </c>
      <c r="C157" s="185"/>
      <c r="D157" s="185"/>
      <c r="E157" s="185"/>
      <c r="F157" s="186"/>
      <c r="G157" s="192">
        <f>'[1]Folha Rosto Comp. P. Unit. '!$B$4</f>
        <v>1.26</v>
      </c>
      <c r="H157" s="186"/>
      <c r="I157" s="185"/>
      <c r="J157" s="185"/>
      <c r="K157" s="201">
        <f>K156*G157</f>
        <v>2.5451999999999999</v>
      </c>
    </row>
    <row r="158" spans="2:11" s="174" customFormat="1" ht="15" customHeight="1">
      <c r="B158" s="209"/>
      <c r="C158" s="210"/>
      <c r="D158" s="210"/>
      <c r="E158" s="210"/>
      <c r="F158" s="218"/>
      <c r="G158" s="194" t="s">
        <v>248</v>
      </c>
      <c r="H158" s="195"/>
      <c r="I158" s="219"/>
      <c r="J158" s="219"/>
      <c r="K158" s="221">
        <f>SUM(K156:K157)</f>
        <v>4.5651999999999999</v>
      </c>
    </row>
    <row r="159" spans="2:11" s="174" customFormat="1" ht="15" customHeight="1">
      <c r="B159" s="438" t="s">
        <v>270</v>
      </c>
      <c r="C159" s="438"/>
      <c r="D159" s="438"/>
      <c r="E159" s="438"/>
      <c r="F159" s="198" t="s">
        <v>221</v>
      </c>
      <c r="G159" s="198" t="s">
        <v>249</v>
      </c>
      <c r="H159" s="198" t="s">
        <v>223</v>
      </c>
      <c r="I159" s="435" t="s">
        <v>228</v>
      </c>
      <c r="J159" s="435"/>
      <c r="K159" s="435"/>
    </row>
    <row r="160" spans="2:11" s="174" customFormat="1" ht="15" customHeight="1">
      <c r="B160" s="184"/>
      <c r="C160" s="185"/>
      <c r="D160" s="185"/>
      <c r="E160" s="185"/>
      <c r="F160" s="186"/>
      <c r="G160" s="213"/>
      <c r="H160" s="213"/>
      <c r="I160" s="312"/>
      <c r="J160" s="200"/>
      <c r="K160" s="313">
        <f>ROUND(G160*H160,2)</f>
        <v>0</v>
      </c>
    </row>
    <row r="161" spans="2:12" s="174" customFormat="1" ht="15" customHeight="1">
      <c r="B161" s="444" t="s">
        <v>318</v>
      </c>
      <c r="C161" s="444"/>
      <c r="D161" s="444"/>
      <c r="E161" s="444"/>
      <c r="F161" s="270" t="s">
        <v>145</v>
      </c>
      <c r="G161" s="445" t="s">
        <v>249</v>
      </c>
      <c r="H161" s="445"/>
      <c r="I161" s="445" t="s">
        <v>223</v>
      </c>
      <c r="J161" s="445"/>
      <c r="K161" s="446" t="s">
        <v>319</v>
      </c>
    </row>
    <row r="162" spans="2:12" s="174" customFormat="1" ht="15" customHeight="1">
      <c r="B162" s="314"/>
      <c r="C162" s="193"/>
      <c r="D162" s="193"/>
      <c r="E162" s="288"/>
      <c r="F162" s="186"/>
      <c r="G162" s="315" t="s">
        <v>320</v>
      </c>
      <c r="H162" s="315" t="s">
        <v>321</v>
      </c>
      <c r="I162" s="315" t="s">
        <v>320</v>
      </c>
      <c r="J162" s="315" t="s">
        <v>321</v>
      </c>
      <c r="K162" s="446"/>
    </row>
    <row r="163" spans="2:12" s="174" customFormat="1" ht="15" customHeight="1">
      <c r="B163" s="447" t="s">
        <v>322</v>
      </c>
      <c r="C163" s="447"/>
      <c r="D163" s="447"/>
      <c r="E163" s="447"/>
      <c r="F163" s="186">
        <v>1</v>
      </c>
      <c r="G163" s="186">
        <v>1</v>
      </c>
      <c r="H163" s="316">
        <v>0</v>
      </c>
      <c r="I163" s="198">
        <v>55.75</v>
      </c>
      <c r="J163" s="198">
        <v>10.8</v>
      </c>
      <c r="K163" s="317">
        <f>I163*G163+J163*H163</f>
        <v>55.75</v>
      </c>
    </row>
    <row r="164" spans="2:12" s="174" customFormat="1" ht="15" customHeight="1">
      <c r="B164" s="184"/>
      <c r="C164" s="185"/>
      <c r="D164" s="210"/>
      <c r="E164" s="210"/>
      <c r="F164" s="198"/>
      <c r="G164" s="214"/>
      <c r="H164" s="290"/>
      <c r="I164" s="318"/>
      <c r="J164" s="318"/>
      <c r="K164" s="319">
        <f>ROUND(G164*H164,2)</f>
        <v>0</v>
      </c>
    </row>
    <row r="165" spans="2:12" s="174" customFormat="1" ht="15" customHeight="1">
      <c r="B165" s="209" t="s">
        <v>231</v>
      </c>
      <c r="C165" s="210"/>
      <c r="D165" s="210"/>
      <c r="E165" s="210"/>
      <c r="F165" s="218"/>
      <c r="G165" s="194" t="s">
        <v>323</v>
      </c>
      <c r="H165" s="320"/>
      <c r="I165" s="219"/>
      <c r="J165" s="219"/>
      <c r="K165" s="221">
        <f>SUM(K163:K164)</f>
        <v>55.75</v>
      </c>
    </row>
    <row r="166" spans="2:12" s="174" customFormat="1" ht="15" customHeight="1">
      <c r="B166" s="321" t="s">
        <v>324</v>
      </c>
      <c r="C166" s="309"/>
      <c r="D166" s="309"/>
      <c r="E166" s="309"/>
      <c r="F166" s="310"/>
      <c r="G166" s="309"/>
      <c r="H166" s="310"/>
      <c r="I166" s="309"/>
      <c r="J166" s="309"/>
      <c r="K166" s="311">
        <f>K158+K165</f>
        <v>60.315199999999997</v>
      </c>
    </row>
    <row r="167" spans="2:12" s="174" customFormat="1" ht="15" customHeight="1">
      <c r="B167" s="322" t="s">
        <v>325</v>
      </c>
      <c r="C167" s="172"/>
      <c r="D167" s="172"/>
      <c r="E167" s="172"/>
      <c r="F167" s="323"/>
      <c r="G167" s="172"/>
      <c r="H167" s="323"/>
      <c r="I167" s="172"/>
      <c r="J167" s="172"/>
      <c r="K167" s="324">
        <f>K166*0.05</f>
        <v>3.0157600000000002</v>
      </c>
    </row>
    <row r="168" spans="2:12" s="174" customFormat="1" ht="15" customHeight="1">
      <c r="B168" s="322" t="s">
        <v>326</v>
      </c>
      <c r="C168" s="172"/>
      <c r="D168" s="172"/>
      <c r="E168" s="172"/>
      <c r="F168" s="323"/>
      <c r="G168" s="172"/>
      <c r="H168" s="323"/>
      <c r="I168" s="172"/>
      <c r="J168" s="172"/>
      <c r="K168" s="324">
        <f>K166+K167</f>
        <v>63.330959999999997</v>
      </c>
    </row>
    <row r="169" spans="2:12" s="174" customFormat="1" ht="14.25" customHeight="1">
      <c r="B169" s="184" t="s">
        <v>234</v>
      </c>
      <c r="C169" s="185"/>
      <c r="D169" s="203">
        <f>'[1]Folha Rosto Comp. P. Unit. '!$B$5</f>
        <v>0.3</v>
      </c>
      <c r="E169" s="185"/>
      <c r="F169" s="193"/>
      <c r="G169" s="185"/>
      <c r="H169" s="193"/>
      <c r="I169" s="185"/>
      <c r="J169" s="185"/>
      <c r="K169" s="202">
        <f>K168*0.3</f>
        <v>18.999288</v>
      </c>
    </row>
    <row r="170" spans="2:12" s="174" customFormat="1" ht="15" customHeight="1">
      <c r="B170" s="436" t="s">
        <v>327</v>
      </c>
      <c r="C170" s="436"/>
      <c r="D170" s="436"/>
      <c r="E170" s="436"/>
      <c r="F170" s="436"/>
      <c r="G170" s="436"/>
      <c r="H170" s="436"/>
      <c r="I170" s="436"/>
      <c r="J170" s="436"/>
      <c r="K170" s="221">
        <f>K166+K167+K169</f>
        <v>82.330247999999997</v>
      </c>
    </row>
    <row r="171" spans="2:12" s="174" customFormat="1" ht="15" customHeight="1">
      <c r="B171" s="436" t="s">
        <v>328</v>
      </c>
      <c r="C171" s="436"/>
      <c r="D171" s="436"/>
      <c r="E171" s="436"/>
      <c r="F171" s="436"/>
      <c r="G171" s="436"/>
      <c r="H171" s="436"/>
      <c r="I171" s="436"/>
      <c r="J171" s="436"/>
      <c r="K171" s="221">
        <f>K170/G152</f>
        <v>4.5739026666666662</v>
      </c>
    </row>
    <row r="172" spans="2:12" s="174" customFormat="1" ht="15" customHeight="1">
      <c r="L172" s="174">
        <v>1000</v>
      </c>
    </row>
    <row r="173" spans="2:12" s="174" customFormat="1" ht="15" customHeight="1">
      <c r="B173" s="206">
        <v>10</v>
      </c>
      <c r="C173" s="181" t="s">
        <v>216</v>
      </c>
      <c r="D173" s="196" t="s">
        <v>329</v>
      </c>
      <c r="E173" s="196"/>
      <c r="F173" s="195"/>
      <c r="G173" s="196"/>
      <c r="H173" s="195"/>
      <c r="I173" s="207"/>
      <c r="J173" s="182" t="s">
        <v>218</v>
      </c>
      <c r="K173" s="242" t="s">
        <v>316</v>
      </c>
    </row>
    <row r="174" spans="2:12" s="174" customFormat="1" ht="15" customHeight="1">
      <c r="B174" s="448" t="s">
        <v>318</v>
      </c>
      <c r="C174" s="448"/>
      <c r="D174" s="449" t="s">
        <v>330</v>
      </c>
      <c r="E174" s="449" t="s">
        <v>331</v>
      </c>
      <c r="F174" s="449" t="s">
        <v>332</v>
      </c>
      <c r="G174" s="449"/>
      <c r="H174" s="449" t="s">
        <v>333</v>
      </c>
      <c r="I174" s="449"/>
      <c r="J174" s="434" t="s">
        <v>224</v>
      </c>
      <c r="K174" s="434"/>
    </row>
    <row r="175" spans="2:12" s="174" customFormat="1" ht="15" customHeight="1">
      <c r="B175" s="448"/>
      <c r="C175" s="448"/>
      <c r="D175" s="449"/>
      <c r="E175" s="449"/>
      <c r="F175" s="186" t="s">
        <v>334</v>
      </c>
      <c r="G175" s="186" t="s">
        <v>335</v>
      </c>
      <c r="H175" s="222"/>
      <c r="I175" s="243"/>
      <c r="J175" s="434"/>
      <c r="K175" s="434"/>
    </row>
    <row r="176" spans="2:12" s="174" customFormat="1" ht="15" customHeight="1">
      <c r="B176" s="184" t="s">
        <v>336</v>
      </c>
      <c r="C176" s="243"/>
      <c r="D176" s="213"/>
      <c r="E176" s="325">
        <v>1</v>
      </c>
      <c r="F176" s="326">
        <v>0.11</v>
      </c>
      <c r="G176" s="274"/>
      <c r="H176" s="214">
        <v>61.6</v>
      </c>
      <c r="I176" s="327"/>
      <c r="J176" s="200"/>
      <c r="K176" s="215">
        <f>H176*F176</f>
        <v>6.7759999999999998</v>
      </c>
    </row>
    <row r="177" spans="2:11" s="174" customFormat="1" ht="15" customHeight="1">
      <c r="B177" s="184" t="s">
        <v>337</v>
      </c>
      <c r="C177" s="243"/>
      <c r="D177" s="213"/>
      <c r="E177" s="325">
        <v>1</v>
      </c>
      <c r="F177" s="186">
        <v>0.38</v>
      </c>
      <c r="G177" s="299"/>
      <c r="H177" s="328">
        <v>8.4</v>
      </c>
      <c r="I177" s="329"/>
      <c r="J177" s="172"/>
      <c r="K177" s="190">
        <f>H177*F177</f>
        <v>3.1920000000000002</v>
      </c>
    </row>
    <row r="178" spans="2:11" s="174" customFormat="1" ht="15" customHeight="1">
      <c r="B178" s="209"/>
      <c r="C178" s="210"/>
      <c r="D178" s="210"/>
      <c r="E178" s="210"/>
      <c r="F178" s="218"/>
      <c r="G178" s="194" t="s">
        <v>248</v>
      </c>
      <c r="H178" s="195"/>
      <c r="I178" s="219"/>
      <c r="J178" s="219"/>
      <c r="K178" s="221">
        <f>SUM(K176:K177)</f>
        <v>9.968</v>
      </c>
    </row>
    <row r="179" spans="2:11" s="174" customFormat="1" ht="15" customHeight="1">
      <c r="B179" s="438" t="s">
        <v>282</v>
      </c>
      <c r="C179" s="438"/>
      <c r="D179" s="438"/>
      <c r="E179" s="438"/>
      <c r="F179" s="198" t="s">
        <v>221</v>
      </c>
      <c r="G179" s="222" t="s">
        <v>338</v>
      </c>
      <c r="H179" s="198" t="s">
        <v>223</v>
      </c>
      <c r="I179" s="435" t="s">
        <v>224</v>
      </c>
      <c r="J179" s="435"/>
      <c r="K179" s="435"/>
    </row>
    <row r="180" spans="2:11" s="174" customFormat="1" ht="15" customHeight="1">
      <c r="B180" s="184"/>
      <c r="C180" s="185"/>
      <c r="D180" s="185"/>
      <c r="E180" s="185"/>
      <c r="F180" s="186"/>
      <c r="G180" s="278"/>
      <c r="H180" s="328"/>
      <c r="I180" s="189"/>
      <c r="J180" s="185"/>
      <c r="K180" s="190"/>
    </row>
    <row r="181" spans="2:11" s="174" customFormat="1" ht="15" customHeight="1">
      <c r="B181" s="209" t="s">
        <v>231</v>
      </c>
      <c r="C181" s="210"/>
      <c r="D181" s="210"/>
      <c r="E181" s="210"/>
      <c r="F181" s="218"/>
      <c r="G181" s="194" t="s">
        <v>232</v>
      </c>
      <c r="H181" s="195"/>
      <c r="I181" s="219"/>
      <c r="J181" s="219"/>
      <c r="K181" s="197">
        <f>SUM(K180:K180)</f>
        <v>0</v>
      </c>
    </row>
    <row r="182" spans="2:11" s="174" customFormat="1" ht="15" customHeight="1">
      <c r="B182" s="209" t="s">
        <v>278</v>
      </c>
      <c r="C182" s="210"/>
      <c r="D182" s="210"/>
      <c r="E182" s="210"/>
      <c r="F182" s="218"/>
      <c r="G182" s="210"/>
      <c r="H182" s="218"/>
      <c r="I182" s="210"/>
      <c r="J182" s="210"/>
      <c r="K182" s="258">
        <f>SUM(K178)</f>
        <v>9.968</v>
      </c>
    </row>
    <row r="183" spans="2:11" s="174" customFormat="1" ht="15" customHeight="1">
      <c r="B183" s="233" t="s">
        <v>234</v>
      </c>
      <c r="C183" s="234"/>
      <c r="D183" s="330">
        <f>'Folha Rosto Comp. P. Unit. '!B5</f>
        <v>0.3</v>
      </c>
      <c r="E183" s="234"/>
      <c r="F183" s="235"/>
      <c r="G183" s="234"/>
      <c r="H183" s="235"/>
      <c r="I183" s="234"/>
      <c r="J183" s="234"/>
      <c r="K183" s="331">
        <f>ROUND(K182*D183,2)</f>
        <v>2.99</v>
      </c>
    </row>
    <row r="184" spans="2:11" s="174" customFormat="1" ht="15" customHeight="1">
      <c r="B184" s="436" t="s">
        <v>235</v>
      </c>
      <c r="C184" s="436"/>
      <c r="D184" s="436"/>
      <c r="E184" s="436"/>
      <c r="F184" s="436"/>
      <c r="G184" s="436"/>
      <c r="H184" s="436"/>
      <c r="I184" s="436"/>
      <c r="J184" s="436"/>
      <c r="K184" s="221">
        <f>SUM(K182:K183)</f>
        <v>12.958</v>
      </c>
    </row>
    <row r="185" spans="2:11" s="174" customFormat="1" ht="15" customHeight="1">
      <c r="F185" s="176"/>
      <c r="H185" s="176"/>
      <c r="K185" s="177"/>
    </row>
    <row r="186" spans="2:11" s="174" customFormat="1" ht="15" customHeight="1">
      <c r="B186" s="206">
        <v>11</v>
      </c>
      <c r="C186" s="181" t="s">
        <v>216</v>
      </c>
      <c r="D186" s="196" t="s">
        <v>339</v>
      </c>
      <c r="E186" s="196"/>
      <c r="F186" s="195" t="s">
        <v>314</v>
      </c>
      <c r="G186" s="196"/>
      <c r="H186" s="195"/>
      <c r="I186" s="207"/>
      <c r="J186" s="241" t="s">
        <v>218</v>
      </c>
      <c r="K186" s="242" t="s">
        <v>340</v>
      </c>
    </row>
    <row r="187" spans="2:11" s="174" customFormat="1" ht="15" customHeight="1">
      <c r="B187" s="184" t="s">
        <v>220</v>
      </c>
      <c r="C187" s="185"/>
      <c r="D187" s="185"/>
      <c r="E187" s="243"/>
      <c r="F187" s="186" t="s">
        <v>221</v>
      </c>
      <c r="G187" s="186" t="s">
        <v>222</v>
      </c>
      <c r="H187" s="223" t="s">
        <v>223</v>
      </c>
      <c r="I187" s="434" t="s">
        <v>228</v>
      </c>
      <c r="J187" s="434"/>
      <c r="K187" s="434"/>
    </row>
    <row r="188" spans="2:11" s="174" customFormat="1" ht="15" customHeight="1">
      <c r="B188" s="209" t="s">
        <v>245</v>
      </c>
      <c r="C188" s="210"/>
      <c r="D188" s="210"/>
      <c r="E188" s="210"/>
      <c r="F188" s="198" t="s">
        <v>244</v>
      </c>
      <c r="G188" s="214">
        <v>0.8</v>
      </c>
      <c r="H188" s="214">
        <f>'Folha Rosto Comp. P. Unit. '!D8</f>
        <v>1.64</v>
      </c>
      <c r="I188" s="256"/>
      <c r="J188" s="256"/>
      <c r="K188" s="215">
        <f>ROUND(G188*H188,2)</f>
        <v>1.31</v>
      </c>
    </row>
    <row r="189" spans="2:11" s="174" customFormat="1" ht="15" customHeight="1">
      <c r="B189" s="184" t="s">
        <v>317</v>
      </c>
      <c r="C189" s="185"/>
      <c r="D189" s="185"/>
      <c r="E189" s="185"/>
      <c r="F189" s="186" t="s">
        <v>244</v>
      </c>
      <c r="G189" s="213">
        <v>0.08</v>
      </c>
      <c r="H189" s="213">
        <f>3.45*1.1029</f>
        <v>3.805005</v>
      </c>
      <c r="I189" s="200"/>
      <c r="J189" s="200"/>
      <c r="K189" s="215">
        <f>ROUND(G189*H189,2)</f>
        <v>0.3</v>
      </c>
    </row>
    <row r="190" spans="2:11" s="174" customFormat="1" ht="15" customHeight="1">
      <c r="B190" s="184"/>
      <c r="C190" s="185"/>
      <c r="D190" s="216" t="s">
        <v>246</v>
      </c>
      <c r="E190" s="185"/>
      <c r="F190" s="186"/>
      <c r="G190" s="213"/>
      <c r="H190" s="213"/>
      <c r="I190" s="200"/>
      <c r="J190" s="200"/>
      <c r="K190" s="201">
        <f>SUM(K188:K189)</f>
        <v>1.61</v>
      </c>
    </row>
    <row r="191" spans="2:11" s="174" customFormat="1" ht="15" customHeight="1">
      <c r="B191" s="184" t="s">
        <v>225</v>
      </c>
      <c r="C191" s="185"/>
      <c r="D191" s="185"/>
      <c r="E191" s="185"/>
      <c r="F191" s="186"/>
      <c r="G191" s="192">
        <f>'[1]Folha Rosto Comp. P. Unit. '!$B$4</f>
        <v>1.26</v>
      </c>
      <c r="H191" s="186"/>
      <c r="I191" s="185"/>
      <c r="J191" s="185"/>
      <c r="K191" s="201">
        <f>K190*G191</f>
        <v>2.0286</v>
      </c>
    </row>
    <row r="192" spans="2:11" s="174" customFormat="1" ht="15" customHeight="1">
      <c r="B192" s="209"/>
      <c r="C192" s="210"/>
      <c r="D192" s="210"/>
      <c r="E192" s="210"/>
      <c r="F192" s="218"/>
      <c r="G192" s="194" t="s">
        <v>248</v>
      </c>
      <c r="H192" s="195"/>
      <c r="I192" s="219"/>
      <c r="J192" s="219"/>
      <c r="K192" s="221">
        <f>SUM(K190:K191)</f>
        <v>3.6386000000000003</v>
      </c>
    </row>
    <row r="193" spans="2:11" s="174" customFormat="1" ht="15" customHeight="1">
      <c r="B193" s="438" t="s">
        <v>270</v>
      </c>
      <c r="C193" s="438"/>
      <c r="D193" s="438"/>
      <c r="E193" s="438"/>
      <c r="F193" s="198" t="s">
        <v>221</v>
      </c>
      <c r="G193" s="198" t="s">
        <v>249</v>
      </c>
      <c r="H193" s="198" t="s">
        <v>223</v>
      </c>
      <c r="I193" s="435" t="s">
        <v>228</v>
      </c>
      <c r="J193" s="435"/>
      <c r="K193" s="435"/>
    </row>
    <row r="194" spans="2:11" s="174" customFormat="1" ht="15" customHeight="1">
      <c r="B194" s="184"/>
      <c r="C194" s="185"/>
      <c r="D194" s="185"/>
      <c r="E194" s="185"/>
      <c r="F194" s="186"/>
      <c r="G194" s="213"/>
      <c r="H194" s="213"/>
      <c r="I194" s="312"/>
      <c r="J194" s="200"/>
      <c r="K194" s="313">
        <f>ROUND(G194*H194,2)</f>
        <v>0</v>
      </c>
    </row>
    <row r="195" spans="2:11" s="174" customFormat="1" ht="15" customHeight="1">
      <c r="B195" s="444" t="s">
        <v>318</v>
      </c>
      <c r="C195" s="444"/>
      <c r="D195" s="444"/>
      <c r="E195" s="444"/>
      <c r="F195" s="270" t="s">
        <v>145</v>
      </c>
      <c r="G195" s="445" t="s">
        <v>249</v>
      </c>
      <c r="H195" s="445"/>
      <c r="I195" s="445" t="s">
        <v>223</v>
      </c>
      <c r="J195" s="445"/>
      <c r="K195" s="446" t="s">
        <v>319</v>
      </c>
    </row>
    <row r="196" spans="2:11" s="174" customFormat="1" ht="15" customHeight="1">
      <c r="B196" s="314"/>
      <c r="C196" s="193"/>
      <c r="D196" s="193"/>
      <c r="E196" s="288"/>
      <c r="F196" s="186"/>
      <c r="G196" s="315" t="s">
        <v>320</v>
      </c>
      <c r="H196" s="315" t="s">
        <v>321</v>
      </c>
      <c r="I196" s="315" t="s">
        <v>320</v>
      </c>
      <c r="J196" s="315" t="s">
        <v>321</v>
      </c>
      <c r="K196" s="446"/>
    </row>
    <row r="197" spans="2:11" s="174" customFormat="1" ht="15" customHeight="1">
      <c r="B197" s="447"/>
      <c r="C197" s="447"/>
      <c r="D197" s="447"/>
      <c r="E197" s="447"/>
      <c r="F197" s="186"/>
      <c r="G197" s="186"/>
      <c r="H197" s="316">
        <v>0</v>
      </c>
      <c r="I197" s="198"/>
      <c r="J197" s="198"/>
      <c r="K197" s="317">
        <f>I197*G197+J197*H197</f>
        <v>0</v>
      </c>
    </row>
    <row r="198" spans="2:11" s="174" customFormat="1" ht="15" customHeight="1">
      <c r="B198" s="184"/>
      <c r="C198" s="185"/>
      <c r="D198" s="210"/>
      <c r="E198" s="210"/>
      <c r="F198" s="198"/>
      <c r="G198" s="214"/>
      <c r="H198" s="290"/>
      <c r="I198" s="318"/>
      <c r="J198" s="318"/>
      <c r="K198" s="319">
        <f>ROUND(G198*H198,2)</f>
        <v>0</v>
      </c>
    </row>
    <row r="199" spans="2:11" s="174" customFormat="1" ht="15" customHeight="1">
      <c r="B199" s="209" t="s">
        <v>231</v>
      </c>
      <c r="C199" s="210"/>
      <c r="D199" s="210"/>
      <c r="E199" s="210"/>
      <c r="F199" s="218"/>
      <c r="G199" s="194" t="s">
        <v>323</v>
      </c>
      <c r="H199" s="320"/>
      <c r="I199" s="219"/>
      <c r="J199" s="219"/>
      <c r="K199" s="221">
        <f>SUM(K197:K198)</f>
        <v>0</v>
      </c>
    </row>
    <row r="200" spans="2:11" s="174" customFormat="1" ht="15" customHeight="1">
      <c r="B200" s="321" t="s">
        <v>324</v>
      </c>
      <c r="C200" s="309"/>
      <c r="D200" s="309"/>
      <c r="E200" s="309"/>
      <c r="F200" s="310"/>
      <c r="G200" s="309"/>
      <c r="H200" s="310"/>
      <c r="I200" s="309"/>
      <c r="J200" s="309"/>
      <c r="K200" s="311">
        <f>K192+K199</f>
        <v>3.6386000000000003</v>
      </c>
    </row>
    <row r="201" spans="2:11" s="174" customFormat="1" ht="15" customHeight="1">
      <c r="B201" s="322" t="s">
        <v>325</v>
      </c>
      <c r="C201" s="172"/>
      <c r="D201" s="172"/>
      <c r="E201" s="172"/>
      <c r="F201" s="323"/>
      <c r="G201" s="172"/>
      <c r="H201" s="323"/>
      <c r="I201" s="172"/>
      <c r="J201" s="172"/>
      <c r="K201" s="324">
        <f>K200*0.05</f>
        <v>0.18193000000000004</v>
      </c>
    </row>
    <row r="202" spans="2:11" s="174" customFormat="1" ht="15" customHeight="1">
      <c r="B202" s="322" t="s">
        <v>326</v>
      </c>
      <c r="C202" s="172"/>
      <c r="D202" s="172"/>
      <c r="E202" s="172"/>
      <c r="F202" s="323"/>
      <c r="G202" s="172"/>
      <c r="H202" s="323"/>
      <c r="I202" s="172"/>
      <c r="J202" s="172"/>
      <c r="K202" s="324">
        <f>K200+K201</f>
        <v>3.8205300000000002</v>
      </c>
    </row>
    <row r="203" spans="2:11" s="174" customFormat="1" ht="15" customHeight="1">
      <c r="B203" s="184" t="s">
        <v>234</v>
      </c>
      <c r="C203" s="185"/>
      <c r="D203" s="203">
        <f>'[1]Folha Rosto Comp. P. Unit. '!$B$5</f>
        <v>0.3</v>
      </c>
      <c r="E203" s="185"/>
      <c r="F203" s="193"/>
      <c r="G203" s="185"/>
      <c r="H203" s="193"/>
      <c r="I203" s="185"/>
      <c r="J203" s="185"/>
      <c r="K203" s="202">
        <f>K202*0.3</f>
        <v>1.1461589999999999</v>
      </c>
    </row>
    <row r="204" spans="2:11" s="174" customFormat="1" ht="15" customHeight="1">
      <c r="B204" s="436" t="s">
        <v>235</v>
      </c>
      <c r="C204" s="436"/>
      <c r="D204" s="436"/>
      <c r="E204" s="436"/>
      <c r="F204" s="436"/>
      <c r="G204" s="436"/>
      <c r="H204" s="436"/>
      <c r="I204" s="436"/>
      <c r="J204" s="436"/>
      <c r="K204" s="221">
        <f>K200+K203</f>
        <v>4.7847590000000002</v>
      </c>
    </row>
    <row r="205" spans="2:11" s="174" customFormat="1" ht="15" customHeight="1">
      <c r="F205" s="176"/>
      <c r="H205" s="176"/>
      <c r="K205" s="177"/>
    </row>
    <row r="206" spans="2:11" s="174" customFormat="1" ht="15" customHeight="1">
      <c r="B206" s="206">
        <v>12</v>
      </c>
      <c r="C206" s="181" t="s">
        <v>216</v>
      </c>
      <c r="D206" s="196" t="s">
        <v>341</v>
      </c>
      <c r="E206" s="196"/>
      <c r="F206" s="195" t="s">
        <v>314</v>
      </c>
      <c r="G206" s="196"/>
      <c r="H206" s="195"/>
      <c r="I206" s="207"/>
      <c r="J206" s="241" t="s">
        <v>218</v>
      </c>
      <c r="K206" s="242" t="s">
        <v>316</v>
      </c>
    </row>
    <row r="207" spans="2:11" s="174" customFormat="1" ht="15" customHeight="1">
      <c r="B207" s="184" t="s">
        <v>220</v>
      </c>
      <c r="C207" s="185"/>
      <c r="D207" s="185"/>
      <c r="E207" s="243"/>
      <c r="F207" s="186" t="s">
        <v>221</v>
      </c>
      <c r="G207" s="186" t="s">
        <v>222</v>
      </c>
      <c r="H207" s="223" t="s">
        <v>223</v>
      </c>
      <c r="I207" s="434" t="s">
        <v>228</v>
      </c>
      <c r="J207" s="434"/>
      <c r="K207" s="434"/>
    </row>
    <row r="208" spans="2:11" s="174" customFormat="1" ht="15" customHeight="1">
      <c r="B208" s="209" t="s">
        <v>245</v>
      </c>
      <c r="C208" s="210"/>
      <c r="D208" s="210"/>
      <c r="E208" s="210"/>
      <c r="F208" s="198" t="s">
        <v>244</v>
      </c>
      <c r="G208" s="214">
        <v>0.2</v>
      </c>
      <c r="H208" s="214">
        <f>'Folha Rosto Comp. P. Unit. '!D8</f>
        <v>1.64</v>
      </c>
      <c r="I208" s="256"/>
      <c r="J208" s="256"/>
      <c r="K208" s="215">
        <f>ROUND(G208*H208,2)</f>
        <v>0.33</v>
      </c>
    </row>
    <row r="209" spans="2:11" s="174" customFormat="1" ht="15" customHeight="1">
      <c r="B209" s="184" t="s">
        <v>317</v>
      </c>
      <c r="C209" s="185"/>
      <c r="D209" s="185"/>
      <c r="E209" s="185"/>
      <c r="F209" s="186" t="s">
        <v>244</v>
      </c>
      <c r="G209" s="213">
        <v>8.0000000000000002E-3</v>
      </c>
      <c r="H209" s="213">
        <v>3.81</v>
      </c>
      <c r="I209" s="200"/>
      <c r="J209" s="200"/>
      <c r="K209" s="215">
        <f>ROUND(G209*H209,2)</f>
        <v>0.03</v>
      </c>
    </row>
    <row r="210" spans="2:11" s="174" customFormat="1" ht="15" customHeight="1">
      <c r="B210" s="184"/>
      <c r="C210" s="185"/>
      <c r="D210" s="216" t="s">
        <v>246</v>
      </c>
      <c r="E210" s="185"/>
      <c r="F210" s="186"/>
      <c r="G210" s="213"/>
      <c r="H210" s="213"/>
      <c r="I210" s="200"/>
      <c r="J210" s="200"/>
      <c r="K210" s="201">
        <f>SUM(K208:K209)</f>
        <v>0.36</v>
      </c>
    </row>
    <row r="211" spans="2:11" s="174" customFormat="1" ht="15" customHeight="1">
      <c r="B211" s="184" t="s">
        <v>225</v>
      </c>
      <c r="C211" s="185"/>
      <c r="D211" s="185"/>
      <c r="E211" s="185"/>
      <c r="F211" s="186"/>
      <c r="G211" s="192">
        <f>'[1]Folha Rosto Comp. P. Unit. '!$B$4</f>
        <v>1.26</v>
      </c>
      <c r="H211" s="186"/>
      <c r="I211" s="185"/>
      <c r="J211" s="185"/>
      <c r="K211" s="201">
        <f>K210*G211</f>
        <v>0.4536</v>
      </c>
    </row>
    <row r="212" spans="2:11" s="174" customFormat="1" ht="15" customHeight="1">
      <c r="B212" s="209"/>
      <c r="C212" s="210"/>
      <c r="D212" s="210"/>
      <c r="E212" s="210"/>
      <c r="F212" s="218"/>
      <c r="G212" s="194" t="s">
        <v>248</v>
      </c>
      <c r="H212" s="195"/>
      <c r="I212" s="219"/>
      <c r="J212" s="219"/>
      <c r="K212" s="221">
        <f>SUM(K210:K211)</f>
        <v>0.81359999999999999</v>
      </c>
    </row>
    <row r="213" spans="2:11" s="174" customFormat="1" ht="15" customHeight="1">
      <c r="B213" s="438" t="s">
        <v>270</v>
      </c>
      <c r="C213" s="438"/>
      <c r="D213" s="438"/>
      <c r="E213" s="438"/>
      <c r="F213" s="198" t="s">
        <v>221</v>
      </c>
      <c r="G213" s="198" t="s">
        <v>249</v>
      </c>
      <c r="H213" s="198" t="s">
        <v>223</v>
      </c>
      <c r="I213" s="435" t="s">
        <v>228</v>
      </c>
      <c r="J213" s="435"/>
      <c r="K213" s="435"/>
    </row>
    <row r="214" spans="2:11" s="174" customFormat="1" ht="15" customHeight="1">
      <c r="B214" s="184"/>
      <c r="C214" s="185"/>
      <c r="D214" s="185"/>
      <c r="E214" s="185"/>
      <c r="F214" s="186"/>
      <c r="G214" s="213"/>
      <c r="H214" s="213"/>
      <c r="I214" s="312"/>
      <c r="J214" s="200"/>
      <c r="K214" s="313">
        <f>ROUND(G214*H214,2)</f>
        <v>0</v>
      </c>
    </row>
    <row r="215" spans="2:11" s="174" customFormat="1" ht="15" customHeight="1">
      <c r="B215" s="444" t="s">
        <v>318</v>
      </c>
      <c r="C215" s="444"/>
      <c r="D215" s="444"/>
      <c r="E215" s="444"/>
      <c r="F215" s="270" t="s">
        <v>145</v>
      </c>
      <c r="G215" s="445" t="s">
        <v>249</v>
      </c>
      <c r="H215" s="445"/>
      <c r="I215" s="445" t="s">
        <v>223</v>
      </c>
      <c r="J215" s="445"/>
      <c r="K215" s="446" t="s">
        <v>319</v>
      </c>
    </row>
    <row r="216" spans="2:11" s="174" customFormat="1" ht="15" customHeight="1">
      <c r="B216" s="314"/>
      <c r="C216" s="193"/>
      <c r="D216" s="193"/>
      <c r="E216" s="288"/>
      <c r="F216" s="186"/>
      <c r="G216" s="315" t="s">
        <v>320</v>
      </c>
      <c r="H216" s="315" t="s">
        <v>321</v>
      </c>
      <c r="I216" s="315" t="s">
        <v>320</v>
      </c>
      <c r="J216" s="315" t="s">
        <v>321</v>
      </c>
      <c r="K216" s="446"/>
    </row>
    <row r="217" spans="2:11" s="174" customFormat="1" ht="15" customHeight="1">
      <c r="B217" s="447"/>
      <c r="C217" s="447"/>
      <c r="D217" s="447"/>
      <c r="E217" s="447"/>
      <c r="F217" s="186"/>
      <c r="G217" s="186"/>
      <c r="H217" s="316">
        <v>0</v>
      </c>
      <c r="I217" s="198"/>
      <c r="J217" s="198"/>
      <c r="K217" s="317">
        <f>I217*G217+J217*H217</f>
        <v>0</v>
      </c>
    </row>
    <row r="218" spans="2:11" s="174" customFormat="1" ht="15" customHeight="1">
      <c r="B218" s="184"/>
      <c r="C218" s="185"/>
      <c r="D218" s="210"/>
      <c r="E218" s="210"/>
      <c r="F218" s="198"/>
      <c r="G218" s="214"/>
      <c r="H218" s="290"/>
      <c r="I218" s="318"/>
      <c r="J218" s="318"/>
      <c r="K218" s="319">
        <f>ROUND(G218*H218,2)</f>
        <v>0</v>
      </c>
    </row>
    <row r="219" spans="2:11" s="174" customFormat="1" ht="15" customHeight="1">
      <c r="B219" s="209" t="s">
        <v>231</v>
      </c>
      <c r="C219" s="210"/>
      <c r="D219" s="210"/>
      <c r="E219" s="210"/>
      <c r="F219" s="218"/>
      <c r="G219" s="194" t="s">
        <v>323</v>
      </c>
      <c r="H219" s="320"/>
      <c r="I219" s="219"/>
      <c r="J219" s="219"/>
      <c r="K219" s="221">
        <f>SUM(K217:K218)</f>
        <v>0</v>
      </c>
    </row>
    <row r="220" spans="2:11" s="174" customFormat="1" ht="15" customHeight="1">
      <c r="B220" s="321" t="s">
        <v>324</v>
      </c>
      <c r="C220" s="309"/>
      <c r="D220" s="309"/>
      <c r="E220" s="309"/>
      <c r="F220" s="310"/>
      <c r="G220" s="309"/>
      <c r="H220" s="310"/>
      <c r="I220" s="309"/>
      <c r="J220" s="309"/>
      <c r="K220" s="311">
        <f>K212+K219</f>
        <v>0.81359999999999999</v>
      </c>
    </row>
    <row r="221" spans="2:11" s="174" customFormat="1" ht="15" customHeight="1">
      <c r="B221" s="322" t="s">
        <v>325</v>
      </c>
      <c r="C221" s="172"/>
      <c r="D221" s="172"/>
      <c r="E221" s="172"/>
      <c r="F221" s="323"/>
      <c r="G221" s="172"/>
      <c r="H221" s="323"/>
      <c r="I221" s="172"/>
      <c r="J221" s="172"/>
      <c r="K221" s="324">
        <f>K220*0.05</f>
        <v>4.0680000000000001E-2</v>
      </c>
    </row>
    <row r="222" spans="2:11" s="174" customFormat="1" ht="15" customHeight="1">
      <c r="B222" s="322" t="s">
        <v>326</v>
      </c>
      <c r="C222" s="172"/>
      <c r="D222" s="172"/>
      <c r="E222" s="172"/>
      <c r="F222" s="323"/>
      <c r="G222" s="172"/>
      <c r="H222" s="323"/>
      <c r="I222" s="172"/>
      <c r="J222" s="172"/>
      <c r="K222" s="324">
        <f>K220+K221</f>
        <v>0.85428000000000004</v>
      </c>
    </row>
    <row r="223" spans="2:11" s="174" customFormat="1" ht="15" customHeight="1">
      <c r="B223" s="184" t="s">
        <v>234</v>
      </c>
      <c r="C223" s="185"/>
      <c r="D223" s="203">
        <f>'[1]Folha Rosto Comp. P. Unit. '!$B$5</f>
        <v>0.3</v>
      </c>
      <c r="E223" s="185"/>
      <c r="F223" s="193"/>
      <c r="G223" s="185"/>
      <c r="H223" s="193"/>
      <c r="I223" s="185"/>
      <c r="J223" s="185"/>
      <c r="K223" s="202">
        <f>K222*0.3</f>
        <v>0.25628400000000001</v>
      </c>
    </row>
    <row r="224" spans="2:11" s="174" customFormat="1" ht="15" customHeight="1">
      <c r="B224" s="436" t="s">
        <v>327</v>
      </c>
      <c r="C224" s="436"/>
      <c r="D224" s="436"/>
      <c r="E224" s="436"/>
      <c r="F224" s="436"/>
      <c r="G224" s="436"/>
      <c r="H224" s="436"/>
      <c r="I224" s="436"/>
      <c r="J224" s="436"/>
      <c r="K224" s="221">
        <f>K220+K221+K223</f>
        <v>1.1105640000000001</v>
      </c>
    </row>
    <row r="225" spans="2:11" s="174" customFormat="1" ht="15" customHeight="1"/>
    <row r="226" spans="2:11" s="174" customFormat="1" ht="15" customHeight="1">
      <c r="B226" s="206">
        <v>13</v>
      </c>
      <c r="C226" s="181" t="s">
        <v>216</v>
      </c>
      <c r="D226" s="196" t="s">
        <v>342</v>
      </c>
      <c r="E226" s="196"/>
      <c r="F226" s="195"/>
      <c r="G226" s="196"/>
      <c r="H226" s="195"/>
      <c r="I226" s="207"/>
      <c r="J226" s="182" t="s">
        <v>218</v>
      </c>
      <c r="K226" s="242" t="s">
        <v>316</v>
      </c>
    </row>
    <row r="227" spans="2:11" s="174" customFormat="1" ht="15" customHeight="1">
      <c r="B227" s="444" t="s">
        <v>318</v>
      </c>
      <c r="C227" s="444"/>
      <c r="D227" s="445" t="s">
        <v>330</v>
      </c>
      <c r="E227" s="445" t="s">
        <v>331</v>
      </c>
      <c r="F227" s="445" t="s">
        <v>332</v>
      </c>
      <c r="G227" s="445"/>
      <c r="H227" s="445" t="s">
        <v>333</v>
      </c>
      <c r="I227" s="445"/>
      <c r="J227" s="435" t="s">
        <v>224</v>
      </c>
      <c r="K227" s="435"/>
    </row>
    <row r="228" spans="2:11" s="174" customFormat="1" ht="15" customHeight="1">
      <c r="B228" s="444"/>
      <c r="C228" s="444"/>
      <c r="D228" s="445"/>
      <c r="E228" s="445"/>
      <c r="F228" s="186" t="s">
        <v>334</v>
      </c>
      <c r="G228" s="186" t="s">
        <v>335</v>
      </c>
      <c r="H228" s="222"/>
      <c r="I228" s="243"/>
      <c r="J228" s="435"/>
      <c r="K228" s="435"/>
    </row>
    <row r="229" spans="2:11" s="174" customFormat="1" ht="15" customHeight="1">
      <c r="B229" s="184" t="s">
        <v>343</v>
      </c>
      <c r="C229" s="243"/>
      <c r="D229" s="213"/>
      <c r="E229" s="325">
        <v>1</v>
      </c>
      <c r="F229" s="213">
        <v>0.1</v>
      </c>
      <c r="G229" s="274"/>
      <c r="H229" s="214">
        <v>48.4</v>
      </c>
      <c r="I229" s="327"/>
      <c r="J229" s="200"/>
      <c r="K229" s="215">
        <f>ROUND(F229*H229,2)</f>
        <v>4.84</v>
      </c>
    </row>
    <row r="230" spans="2:11" s="174" customFormat="1" ht="15" customHeight="1">
      <c r="B230" s="184"/>
      <c r="C230" s="243"/>
      <c r="D230" s="213"/>
      <c r="E230" s="325"/>
      <c r="F230" s="186"/>
      <c r="G230" s="299"/>
      <c r="H230" s="186"/>
      <c r="I230" s="329"/>
      <c r="J230" s="172"/>
      <c r="K230" s="332"/>
    </row>
    <row r="231" spans="2:11" s="174" customFormat="1" ht="15" customHeight="1">
      <c r="B231" s="209"/>
      <c r="C231" s="210"/>
      <c r="D231" s="210"/>
      <c r="E231" s="210"/>
      <c r="F231" s="218"/>
      <c r="G231" s="194" t="s">
        <v>248</v>
      </c>
      <c r="H231" s="195"/>
      <c r="I231" s="219"/>
      <c r="J231" s="219"/>
      <c r="K231" s="221">
        <f>SUM(K229:K230)</f>
        <v>4.84</v>
      </c>
    </row>
    <row r="232" spans="2:11" s="174" customFormat="1" ht="15" customHeight="1">
      <c r="B232" s="438" t="s">
        <v>282</v>
      </c>
      <c r="C232" s="438"/>
      <c r="D232" s="438"/>
      <c r="E232" s="438"/>
      <c r="F232" s="198" t="s">
        <v>221</v>
      </c>
      <c r="G232" s="222" t="s">
        <v>338</v>
      </c>
      <c r="H232" s="198" t="s">
        <v>223</v>
      </c>
      <c r="I232" s="435" t="s">
        <v>224</v>
      </c>
      <c r="J232" s="435"/>
      <c r="K232" s="435"/>
    </row>
    <row r="233" spans="2:11" s="174" customFormat="1" ht="15" customHeight="1">
      <c r="B233" s="184"/>
      <c r="C233" s="185"/>
      <c r="D233" s="185"/>
      <c r="E233" s="185"/>
      <c r="F233" s="186"/>
      <c r="G233" s="278"/>
      <c r="H233" s="328"/>
      <c r="I233" s="189"/>
      <c r="J233" s="185"/>
      <c r="K233" s="190"/>
    </row>
    <row r="234" spans="2:11" s="174" customFormat="1" ht="15" customHeight="1">
      <c r="B234" s="209" t="s">
        <v>231</v>
      </c>
      <c r="C234" s="210"/>
      <c r="D234" s="210"/>
      <c r="E234" s="210"/>
      <c r="F234" s="218"/>
      <c r="G234" s="194" t="s">
        <v>232</v>
      </c>
      <c r="H234" s="195"/>
      <c r="I234" s="219"/>
      <c r="J234" s="219"/>
      <c r="K234" s="197">
        <f>SUM(K233:K233)</f>
        <v>0</v>
      </c>
    </row>
    <row r="235" spans="2:11" s="174" customFormat="1" ht="15" customHeight="1">
      <c r="B235" s="209" t="s">
        <v>278</v>
      </c>
      <c r="C235" s="210"/>
      <c r="D235" s="210"/>
      <c r="E235" s="210"/>
      <c r="F235" s="218"/>
      <c r="G235" s="210"/>
      <c r="H235" s="218"/>
      <c r="I235" s="210"/>
      <c r="J235" s="210"/>
      <c r="K235" s="258">
        <f>SUM(K231+K234)</f>
        <v>4.84</v>
      </c>
    </row>
    <row r="236" spans="2:11" s="174" customFormat="1" ht="15" customHeight="1">
      <c r="B236" s="233" t="s">
        <v>234</v>
      </c>
      <c r="C236" s="234"/>
      <c r="D236" s="330">
        <f>'Folha Rosto Comp. P. Unit. '!B5</f>
        <v>0.3</v>
      </c>
      <c r="E236" s="234"/>
      <c r="F236" s="235"/>
      <c r="G236" s="234"/>
      <c r="H236" s="235"/>
      <c r="I236" s="234"/>
      <c r="J236" s="234"/>
      <c r="K236" s="331">
        <f>ROUND(K235*D236,2)</f>
        <v>1.45</v>
      </c>
    </row>
    <row r="237" spans="2:11" s="174" customFormat="1" ht="15" customHeight="1">
      <c r="B237" s="436" t="s">
        <v>235</v>
      </c>
      <c r="C237" s="436"/>
      <c r="D237" s="436"/>
      <c r="E237" s="436"/>
      <c r="F237" s="436"/>
      <c r="G237" s="436"/>
      <c r="H237" s="436"/>
      <c r="I237" s="436"/>
      <c r="J237" s="436"/>
      <c r="K237" s="221">
        <f>SUM(K235:K236)</f>
        <v>6.29</v>
      </c>
    </row>
    <row r="238" spans="2:11" s="174" customFormat="1" ht="15" customHeight="1">
      <c r="F238" s="176"/>
      <c r="H238" s="176"/>
      <c r="K238" s="177"/>
    </row>
    <row r="239" spans="2:11" s="174" customFormat="1" ht="15" customHeight="1">
      <c r="B239" s="206">
        <v>14</v>
      </c>
      <c r="C239" s="181" t="s">
        <v>344</v>
      </c>
      <c r="D239" s="196" t="s">
        <v>345</v>
      </c>
      <c r="E239" s="196"/>
      <c r="F239" s="196"/>
      <c r="G239" s="196"/>
      <c r="H239" s="195"/>
      <c r="I239" s="207"/>
      <c r="J239" s="182" t="s">
        <v>218</v>
      </c>
      <c r="K239" s="333" t="s">
        <v>346</v>
      </c>
    </row>
    <row r="240" spans="2:11" s="174" customFormat="1" ht="15" customHeight="1">
      <c r="B240" s="448" t="s">
        <v>318</v>
      </c>
      <c r="C240" s="448"/>
      <c r="D240" s="449" t="s">
        <v>347</v>
      </c>
      <c r="E240" s="449" t="s">
        <v>348</v>
      </c>
      <c r="F240" s="449" t="s">
        <v>332</v>
      </c>
      <c r="G240" s="449"/>
      <c r="H240" s="449" t="s">
        <v>349</v>
      </c>
      <c r="I240" s="449"/>
      <c r="J240" s="434" t="s">
        <v>319</v>
      </c>
      <c r="K240" s="434"/>
    </row>
    <row r="241" spans="2:11" s="174" customFormat="1" ht="15" customHeight="1">
      <c r="B241" s="448"/>
      <c r="C241" s="448"/>
      <c r="D241" s="449"/>
      <c r="E241" s="449"/>
      <c r="F241" s="222" t="s">
        <v>334</v>
      </c>
      <c r="G241" s="222" t="s">
        <v>335</v>
      </c>
      <c r="H241" s="222" t="s">
        <v>334</v>
      </c>
      <c r="I241" s="222" t="s">
        <v>335</v>
      </c>
      <c r="J241" s="434"/>
      <c r="K241" s="434"/>
    </row>
    <row r="242" spans="2:11" s="174" customFormat="1" ht="15" customHeight="1">
      <c r="B242" s="184" t="s">
        <v>337</v>
      </c>
      <c r="C242" s="185"/>
      <c r="D242" s="278"/>
      <c r="E242" s="214">
        <v>2</v>
      </c>
      <c r="F242" s="198">
        <v>0.24399999999999999</v>
      </c>
      <c r="G242" s="198"/>
      <c r="H242" s="275">
        <v>8.4</v>
      </c>
      <c r="I242" s="278"/>
      <c r="J242" s="210"/>
      <c r="K242" s="215">
        <f>ROUND(E242*F242*H242,2)</f>
        <v>4.0999999999999996</v>
      </c>
    </row>
    <row r="243" spans="2:11" s="174" customFormat="1" ht="15" customHeight="1">
      <c r="B243" s="184"/>
      <c r="C243" s="185"/>
      <c r="D243" s="185"/>
      <c r="E243" s="185"/>
      <c r="F243" s="185"/>
      <c r="G243" s="194" t="s">
        <v>350</v>
      </c>
      <c r="H243" s="195"/>
      <c r="I243" s="196"/>
      <c r="J243" s="196"/>
      <c r="K243" s="221">
        <f>SUM(K242:K242)</f>
        <v>4.0999999999999996</v>
      </c>
    </row>
    <row r="244" spans="2:11" s="174" customFormat="1" ht="15" customHeight="1">
      <c r="B244" s="184" t="s">
        <v>220</v>
      </c>
      <c r="C244" s="185"/>
      <c r="D244" s="185"/>
      <c r="E244" s="243"/>
      <c r="F244" s="186" t="s">
        <v>221</v>
      </c>
      <c r="G244" s="270" t="s">
        <v>222</v>
      </c>
      <c r="H244" s="270" t="s">
        <v>281</v>
      </c>
      <c r="I244" s="435" t="s">
        <v>228</v>
      </c>
      <c r="J244" s="435"/>
      <c r="K244" s="435"/>
    </row>
    <row r="245" spans="2:11" s="174" customFormat="1" ht="15" customHeight="1">
      <c r="B245" s="184"/>
      <c r="C245" s="185"/>
      <c r="D245" s="185"/>
      <c r="E245" s="211"/>
      <c r="F245" s="278"/>
      <c r="G245" s="334"/>
      <c r="H245" s="335"/>
      <c r="I245" s="336"/>
      <c r="J245" s="336"/>
      <c r="K245" s="337"/>
    </row>
    <row r="246" spans="2:11" s="174" customFormat="1" ht="15" customHeight="1">
      <c r="B246" s="209"/>
      <c r="C246" s="210"/>
      <c r="D246" s="210"/>
      <c r="E246" s="210"/>
      <c r="F246" s="210"/>
      <c r="G246" s="194" t="s">
        <v>306</v>
      </c>
      <c r="H246" s="195"/>
      <c r="I246" s="219"/>
      <c r="J246" s="219"/>
      <c r="K246" s="221">
        <f>SUM(K244:K245)</f>
        <v>0</v>
      </c>
    </row>
    <row r="247" spans="2:11" s="174" customFormat="1" ht="15" customHeight="1">
      <c r="B247" s="209" t="s">
        <v>351</v>
      </c>
      <c r="C247" s="210"/>
      <c r="D247" s="210"/>
      <c r="E247" s="210"/>
      <c r="F247" s="210"/>
      <c r="G247" s="210"/>
      <c r="H247" s="218"/>
      <c r="I247" s="210"/>
      <c r="J247" s="210"/>
      <c r="K247" s="258">
        <f>SUM(K243,K245)</f>
        <v>4.0999999999999996</v>
      </c>
    </row>
    <row r="248" spans="2:11" s="174" customFormat="1" ht="15" customHeight="1">
      <c r="B248" s="209" t="s">
        <v>234</v>
      </c>
      <c r="C248" s="210"/>
      <c r="D248" s="203">
        <f>'Folha Rosto Comp. P. Unit. '!B5</f>
        <v>0.3</v>
      </c>
      <c r="E248" s="210"/>
      <c r="F248" s="210"/>
      <c r="G248" s="210"/>
      <c r="H248" s="218"/>
      <c r="I248" s="210"/>
      <c r="J248" s="185"/>
      <c r="K248" s="202">
        <f>ROUND(K247*D248,2)</f>
        <v>1.23</v>
      </c>
    </row>
    <row r="249" spans="2:11" s="174" customFormat="1" ht="15" customHeight="1">
      <c r="B249" s="436" t="s">
        <v>235</v>
      </c>
      <c r="C249" s="436"/>
      <c r="D249" s="436"/>
      <c r="E249" s="436"/>
      <c r="F249" s="436"/>
      <c r="G249" s="436"/>
      <c r="H249" s="436"/>
      <c r="I249" s="436"/>
      <c r="J249" s="436"/>
      <c r="K249" s="221">
        <f>SUM(K247:K248)</f>
        <v>5.33</v>
      </c>
    </row>
    <row r="250" spans="2:11" s="174" customFormat="1" ht="15" customHeight="1">
      <c r="B250" s="260"/>
      <c r="C250" s="260"/>
      <c r="D250" s="260"/>
      <c r="E250" s="260"/>
      <c r="F250" s="260"/>
      <c r="G250" s="260"/>
      <c r="H250" s="260"/>
      <c r="I250" s="260"/>
      <c r="J250" s="260"/>
      <c r="K250" s="261"/>
    </row>
    <row r="251" spans="2:11" s="174" customFormat="1" ht="15" customHeight="1">
      <c r="B251" s="206">
        <v>15</v>
      </c>
      <c r="C251" s="338" t="s">
        <v>216</v>
      </c>
      <c r="D251" s="443" t="s">
        <v>352</v>
      </c>
      <c r="E251" s="443"/>
      <c r="F251" s="443"/>
      <c r="G251" s="443"/>
      <c r="H251" s="443"/>
      <c r="I251" s="443"/>
      <c r="J251" s="182" t="s">
        <v>218</v>
      </c>
      <c r="K251" s="242" t="s">
        <v>241</v>
      </c>
    </row>
    <row r="252" spans="2:11" s="174" customFormat="1" ht="15" customHeight="1">
      <c r="B252" s="339" t="s">
        <v>220</v>
      </c>
      <c r="C252" s="340"/>
      <c r="D252" s="341"/>
      <c r="E252" s="329"/>
      <c r="F252" s="342" t="s">
        <v>221</v>
      </c>
      <c r="G252" s="342" t="s">
        <v>222</v>
      </c>
      <c r="H252" s="342" t="s">
        <v>281</v>
      </c>
      <c r="I252" s="450" t="s">
        <v>228</v>
      </c>
      <c r="J252" s="450"/>
      <c r="K252" s="450"/>
    </row>
    <row r="253" spans="2:11" s="174" customFormat="1" ht="15" customHeight="1">
      <c r="B253" s="184" t="s">
        <v>353</v>
      </c>
      <c r="C253" s="185"/>
      <c r="D253" s="185"/>
      <c r="E253" s="243"/>
      <c r="F253" s="186" t="s">
        <v>244</v>
      </c>
      <c r="G253" s="213">
        <v>0.01</v>
      </c>
      <c r="H253" s="213">
        <v>3.81</v>
      </c>
      <c r="I253" s="191"/>
      <c r="J253" s="193"/>
      <c r="K253" s="201">
        <f>ROUND(G253*H253,2)</f>
        <v>0.04</v>
      </c>
    </row>
    <row r="254" spans="2:11" s="174" customFormat="1" ht="15" customHeight="1">
      <c r="B254" s="184" t="s">
        <v>245</v>
      </c>
      <c r="C254" s="185"/>
      <c r="D254" s="185"/>
      <c r="E254" s="243"/>
      <c r="F254" s="186" t="s">
        <v>244</v>
      </c>
      <c r="G254" s="213">
        <v>0.01</v>
      </c>
      <c r="H254" s="213">
        <f>'Folha Rosto Comp. P. Unit. '!D8</f>
        <v>1.64</v>
      </c>
      <c r="I254" s="199"/>
      <c r="J254" s="200"/>
      <c r="K254" s="201">
        <f>ROUND(G254*H254,2)</f>
        <v>0.02</v>
      </c>
    </row>
    <row r="255" spans="2:11" s="174" customFormat="1" ht="15" customHeight="1">
      <c r="B255" s="184"/>
      <c r="C255" s="185"/>
      <c r="D255" s="216" t="s">
        <v>246</v>
      </c>
      <c r="E255" s="243"/>
      <c r="F255" s="186"/>
      <c r="G255" s="229"/>
      <c r="H255" s="229"/>
      <c r="I255" s="280"/>
      <c r="J255" s="230"/>
      <c r="K255" s="231">
        <f>SUM(K253:K254)</f>
        <v>0.06</v>
      </c>
    </row>
    <row r="256" spans="2:11" s="174" customFormat="1" ht="15" customHeight="1">
      <c r="B256" s="184" t="s">
        <v>354</v>
      </c>
      <c r="C256" s="185"/>
      <c r="D256" s="185"/>
      <c r="E256" s="243"/>
      <c r="F256" s="186"/>
      <c r="G256" s="343">
        <f>'Folha Rosto Comp. P. Unit. '!B4</f>
        <v>1.26</v>
      </c>
      <c r="H256" s="342"/>
      <c r="I256" s="341"/>
      <c r="J256" s="234"/>
      <c r="K256" s="344">
        <f>K255*G256</f>
        <v>7.5600000000000001E-2</v>
      </c>
    </row>
    <row r="257" spans="2:11" s="174" customFormat="1" ht="15" customHeight="1">
      <c r="B257" s="184"/>
      <c r="C257" s="185"/>
      <c r="D257" s="185"/>
      <c r="E257" s="185"/>
      <c r="F257" s="224"/>
      <c r="G257" s="194" t="s">
        <v>248</v>
      </c>
      <c r="H257" s="195"/>
      <c r="I257" s="196"/>
      <c r="J257" s="196"/>
      <c r="K257" s="221">
        <f>SUM(K255:K256)</f>
        <v>0.1356</v>
      </c>
    </row>
    <row r="258" spans="2:11" s="174" customFormat="1" ht="15" customHeight="1">
      <c r="B258" s="448" t="s">
        <v>307</v>
      </c>
      <c r="C258" s="448"/>
      <c r="D258" s="449" t="s">
        <v>221</v>
      </c>
      <c r="E258" s="449" t="s">
        <v>355</v>
      </c>
      <c r="F258" s="449" t="s">
        <v>332</v>
      </c>
      <c r="G258" s="449"/>
      <c r="H258" s="449" t="s">
        <v>356</v>
      </c>
      <c r="I258" s="449"/>
      <c r="J258" s="434" t="s">
        <v>228</v>
      </c>
      <c r="K258" s="434"/>
    </row>
    <row r="259" spans="2:11" s="174" customFormat="1" ht="15" customHeight="1">
      <c r="B259" s="448"/>
      <c r="C259" s="448"/>
      <c r="D259" s="449"/>
      <c r="E259" s="449"/>
      <c r="F259" s="198" t="s">
        <v>334</v>
      </c>
      <c r="G259" s="198" t="s">
        <v>335</v>
      </c>
      <c r="H259" s="288" t="s">
        <v>334</v>
      </c>
      <c r="I259" s="198" t="s">
        <v>335</v>
      </c>
      <c r="J259" s="434"/>
      <c r="K259" s="434"/>
    </row>
    <row r="260" spans="2:11" s="174" customFormat="1" ht="21" customHeight="1">
      <c r="B260" s="451" t="s">
        <v>357</v>
      </c>
      <c r="C260" s="451"/>
      <c r="D260" s="198" t="s">
        <v>244</v>
      </c>
      <c r="E260" s="214">
        <v>0.25</v>
      </c>
      <c r="F260" s="214">
        <v>0.2</v>
      </c>
      <c r="G260" s="214">
        <v>0.3</v>
      </c>
      <c r="H260" s="214">
        <v>0.85</v>
      </c>
      <c r="I260" s="198">
        <v>3.54</v>
      </c>
      <c r="J260" s="210"/>
      <c r="K260" s="215">
        <f>F260*H260</f>
        <v>0.17</v>
      </c>
    </row>
    <row r="261" spans="2:11" s="174" customFormat="1" ht="21.75" customHeight="1">
      <c r="B261" s="452" t="s">
        <v>358</v>
      </c>
      <c r="C261" s="452"/>
      <c r="D261" s="186" t="s">
        <v>244</v>
      </c>
      <c r="E261" s="188">
        <v>0.25</v>
      </c>
      <c r="F261" s="188">
        <v>0.2</v>
      </c>
      <c r="G261" s="188">
        <v>0</v>
      </c>
      <c r="H261" s="213">
        <v>1.2</v>
      </c>
      <c r="I261" s="186">
        <v>0.67</v>
      </c>
      <c r="J261" s="185"/>
      <c r="K261" s="201">
        <f>F261*H261</f>
        <v>0.24</v>
      </c>
    </row>
    <row r="262" spans="2:11" s="174" customFormat="1" ht="22.9" customHeight="1">
      <c r="B262" s="453" t="s">
        <v>359</v>
      </c>
      <c r="C262" s="453"/>
      <c r="D262" s="186" t="s">
        <v>244</v>
      </c>
      <c r="E262" s="275">
        <v>0.4</v>
      </c>
      <c r="F262" s="275">
        <v>0.157</v>
      </c>
      <c r="G262" s="275">
        <v>0</v>
      </c>
      <c r="H262" s="214">
        <v>14.3</v>
      </c>
      <c r="I262" s="198">
        <v>1.05</v>
      </c>
      <c r="J262" s="210"/>
      <c r="K262" s="215">
        <f>F262*H262</f>
        <v>2.2451000000000003</v>
      </c>
    </row>
    <row r="263" spans="2:11" s="174" customFormat="1" ht="21.75" customHeight="1">
      <c r="B263" s="451" t="s">
        <v>360</v>
      </c>
      <c r="C263" s="451"/>
      <c r="D263" s="186" t="s">
        <v>244</v>
      </c>
      <c r="E263" s="275">
        <v>0.4</v>
      </c>
      <c r="F263" s="214">
        <v>0.1</v>
      </c>
      <c r="G263" s="245">
        <v>0.3</v>
      </c>
      <c r="H263" s="229">
        <v>11.3</v>
      </c>
      <c r="I263" s="342">
        <v>8.31</v>
      </c>
      <c r="J263" s="172"/>
      <c r="K263" s="215">
        <f>F263*H263</f>
        <v>1.1300000000000001</v>
      </c>
    </row>
    <row r="264" spans="2:11" s="174" customFormat="1" ht="15" customHeight="1">
      <c r="B264" s="184"/>
      <c r="C264" s="185"/>
      <c r="D264" s="211"/>
      <c r="E264" s="243"/>
      <c r="F264" s="186"/>
      <c r="G264" s="194" t="s">
        <v>306</v>
      </c>
      <c r="H264" s="302"/>
      <c r="I264" s="196"/>
      <c r="J264" s="196"/>
      <c r="K264" s="221">
        <f>SUM(K260:K263)</f>
        <v>3.7851000000000008</v>
      </c>
    </row>
    <row r="265" spans="2:11" s="174" customFormat="1" ht="15" customHeight="1">
      <c r="B265" s="438" t="s">
        <v>270</v>
      </c>
      <c r="C265" s="438"/>
      <c r="D265" s="198" t="s">
        <v>221</v>
      </c>
      <c r="E265" s="198" t="s">
        <v>355</v>
      </c>
      <c r="F265" s="198" t="s">
        <v>223</v>
      </c>
      <c r="G265" s="345"/>
      <c r="H265" s="346"/>
      <c r="I265" s="345"/>
      <c r="J265" s="345"/>
      <c r="K265" s="347"/>
    </row>
    <row r="266" spans="2:11" s="174" customFormat="1" ht="23.25" customHeight="1">
      <c r="B266" s="453" t="s">
        <v>361</v>
      </c>
      <c r="C266" s="453"/>
      <c r="D266" s="198" t="s">
        <v>362</v>
      </c>
      <c r="E266" s="186">
        <v>6.9999999999999999E-4</v>
      </c>
      <c r="F266" s="328">
        <v>819.5</v>
      </c>
      <c r="G266" s="336"/>
      <c r="H266" s="348"/>
      <c r="I266" s="336"/>
      <c r="J266" s="336"/>
      <c r="K266" s="258">
        <f>E266*F266</f>
        <v>0.57364999999999999</v>
      </c>
    </row>
    <row r="267" spans="2:11" s="174" customFormat="1" ht="15" customHeight="1">
      <c r="B267" s="184"/>
      <c r="C267" s="185"/>
      <c r="D267" s="210"/>
      <c r="E267" s="185"/>
      <c r="F267" s="193"/>
      <c r="G267" s="194" t="s">
        <v>310</v>
      </c>
      <c r="H267" s="302"/>
      <c r="I267" s="196"/>
      <c r="J267" s="196"/>
      <c r="K267" s="221">
        <f>SUM(K266)</f>
        <v>0.57364999999999999</v>
      </c>
    </row>
    <row r="268" spans="2:11" s="174" customFormat="1" ht="15" customHeight="1">
      <c r="B268" s="305" t="s">
        <v>311</v>
      </c>
      <c r="C268" s="278"/>
      <c r="D268" s="210"/>
      <c r="E268" s="210"/>
      <c r="F268" s="218"/>
      <c r="G268" s="210"/>
      <c r="H268" s="218"/>
      <c r="I268" s="210"/>
      <c r="J268" s="210"/>
      <c r="K268" s="258">
        <f>SUM(K257,K264,K267)</f>
        <v>4.4943500000000007</v>
      </c>
    </row>
    <row r="269" spans="2:11" s="174" customFormat="1" ht="15" customHeight="1">
      <c r="B269" s="349" t="s">
        <v>234</v>
      </c>
      <c r="C269" s="350"/>
      <c r="D269" s="351">
        <f>'Folha Rosto Comp. P. Unit. '!B5</f>
        <v>0.3</v>
      </c>
      <c r="E269" s="352"/>
      <c r="F269" s="353"/>
      <c r="G269" s="352"/>
      <c r="H269" s="353"/>
      <c r="I269" s="352"/>
      <c r="J269" s="172"/>
      <c r="K269" s="202">
        <f>ROUND(K268*D269,2)</f>
        <v>1.35</v>
      </c>
    </row>
    <row r="270" spans="2:11" s="174" customFormat="1" ht="15" customHeight="1">
      <c r="B270" s="436" t="s">
        <v>235</v>
      </c>
      <c r="C270" s="436"/>
      <c r="D270" s="436"/>
      <c r="E270" s="436"/>
      <c r="F270" s="436"/>
      <c r="G270" s="436"/>
      <c r="H270" s="436"/>
      <c r="I270" s="436"/>
      <c r="J270" s="436"/>
      <c r="K270" s="221">
        <f>SUM(K268:K269)</f>
        <v>5.8443500000000004</v>
      </c>
    </row>
    <row r="271" spans="2:11" s="174" customFormat="1" ht="15" customHeight="1">
      <c r="B271" s="285"/>
      <c r="C271" s="285"/>
      <c r="D271" s="285"/>
      <c r="E271" s="285"/>
      <c r="F271" s="260"/>
      <c r="G271" s="285"/>
      <c r="H271" s="260"/>
      <c r="I271" s="285"/>
      <c r="J271" s="285"/>
      <c r="K271" s="261"/>
    </row>
    <row r="272" spans="2:11" s="174" customFormat="1" ht="15" customHeight="1">
      <c r="B272" s="206">
        <v>16</v>
      </c>
      <c r="C272" s="338" t="s">
        <v>216</v>
      </c>
      <c r="D272" s="443" t="s">
        <v>363</v>
      </c>
      <c r="E272" s="443"/>
      <c r="F272" s="443"/>
      <c r="G272" s="443"/>
      <c r="H272" s="443"/>
      <c r="I272" s="443"/>
      <c r="J272" s="296" t="s">
        <v>218</v>
      </c>
      <c r="K272" s="297" t="s">
        <v>364</v>
      </c>
    </row>
    <row r="273" spans="2:11" s="174" customFormat="1" ht="15" customHeight="1">
      <c r="B273" s="298" t="s">
        <v>220</v>
      </c>
      <c r="C273" s="299"/>
      <c r="D273" s="189"/>
      <c r="E273" s="243"/>
      <c r="F273" s="186" t="s">
        <v>221</v>
      </c>
      <c r="G273" s="186" t="s">
        <v>222</v>
      </c>
      <c r="H273" s="186" t="s">
        <v>281</v>
      </c>
      <c r="I273" s="434" t="s">
        <v>224</v>
      </c>
      <c r="J273" s="434"/>
      <c r="K273" s="434"/>
    </row>
    <row r="274" spans="2:11" s="174" customFormat="1" ht="15" customHeight="1">
      <c r="B274" s="321" t="s">
        <v>353</v>
      </c>
      <c r="C274" s="309"/>
      <c r="D274" s="309"/>
      <c r="E274" s="354"/>
      <c r="F274" s="279" t="s">
        <v>244</v>
      </c>
      <c r="G274" s="355">
        <v>0.5</v>
      </c>
      <c r="H274" s="355">
        <v>3.81</v>
      </c>
      <c r="I274" s="356"/>
      <c r="J274" s="310"/>
      <c r="K274" s="357">
        <f>ROUND(G274*H274,2)</f>
        <v>1.91</v>
      </c>
    </row>
    <row r="275" spans="2:11" s="174" customFormat="1" ht="15" customHeight="1">
      <c r="B275" s="268" t="s">
        <v>245</v>
      </c>
      <c r="C275" s="269"/>
      <c r="D275" s="269"/>
      <c r="E275" s="358"/>
      <c r="F275" s="270" t="s">
        <v>244</v>
      </c>
      <c r="G275" s="271">
        <v>0.5</v>
      </c>
      <c r="H275" s="271">
        <f>'Folha Rosto Comp. P. Unit. '!D8</f>
        <v>1.64</v>
      </c>
      <c r="I275" s="359"/>
      <c r="J275" s="360"/>
      <c r="K275" s="361">
        <f>ROUND(G275*H275,2)</f>
        <v>0.82</v>
      </c>
    </row>
    <row r="276" spans="2:11" s="174" customFormat="1" ht="15" customHeight="1">
      <c r="B276" s="184"/>
      <c r="C276" s="185"/>
      <c r="D276" s="216" t="s">
        <v>246</v>
      </c>
      <c r="E276" s="243"/>
      <c r="F276" s="186"/>
      <c r="G276" s="213"/>
      <c r="H276" s="213"/>
      <c r="I276" s="199"/>
      <c r="J276" s="200"/>
      <c r="K276" s="201">
        <f>SUM(K274:K275)</f>
        <v>2.73</v>
      </c>
    </row>
    <row r="277" spans="2:11" s="174" customFormat="1" ht="15" customHeight="1">
      <c r="B277" s="184" t="s">
        <v>354</v>
      </c>
      <c r="C277" s="185"/>
      <c r="D277" s="185"/>
      <c r="E277" s="243"/>
      <c r="F277" s="186"/>
      <c r="G277" s="217">
        <f>'Folha Rosto Comp. P. Unit. '!B4</f>
        <v>1.26</v>
      </c>
      <c r="H277" s="186"/>
      <c r="I277" s="189"/>
      <c r="J277" s="185"/>
      <c r="K277" s="201">
        <f>K276*G277</f>
        <v>3.4398</v>
      </c>
    </row>
    <row r="278" spans="2:11" s="174" customFormat="1" ht="15" customHeight="1">
      <c r="B278" s="209"/>
      <c r="C278" s="210"/>
      <c r="D278" s="210"/>
      <c r="E278" s="210"/>
      <c r="F278" s="218"/>
      <c r="G278" s="194" t="s">
        <v>248</v>
      </c>
      <c r="H278" s="195"/>
      <c r="I278" s="196"/>
      <c r="J278" s="196"/>
      <c r="K278" s="221">
        <f>SUM(K276:K277)</f>
        <v>6.1698000000000004</v>
      </c>
    </row>
    <row r="279" spans="2:11" s="174" customFormat="1" ht="15" customHeight="1">
      <c r="B279" s="438" t="s">
        <v>307</v>
      </c>
      <c r="C279" s="438"/>
      <c r="D279" s="454" t="s">
        <v>221</v>
      </c>
      <c r="E279" s="454" t="s">
        <v>355</v>
      </c>
      <c r="F279" s="449" t="s">
        <v>332</v>
      </c>
      <c r="G279" s="449"/>
      <c r="H279" s="445" t="s">
        <v>356</v>
      </c>
      <c r="I279" s="445"/>
      <c r="J279" s="435" t="s">
        <v>228</v>
      </c>
      <c r="K279" s="435"/>
    </row>
    <row r="280" spans="2:11" s="174" customFormat="1" ht="15" customHeight="1">
      <c r="B280" s="438"/>
      <c r="C280" s="438"/>
      <c r="D280" s="454"/>
      <c r="E280" s="454"/>
      <c r="F280" s="198" t="s">
        <v>334</v>
      </c>
      <c r="G280" s="198" t="s">
        <v>335</v>
      </c>
      <c r="H280" s="288" t="s">
        <v>334</v>
      </c>
      <c r="I280" s="198" t="s">
        <v>335</v>
      </c>
      <c r="J280" s="435"/>
      <c r="K280" s="435"/>
    </row>
    <row r="281" spans="2:11" s="174" customFormat="1" ht="21" customHeight="1">
      <c r="B281" s="451" t="s">
        <v>365</v>
      </c>
      <c r="C281" s="451"/>
      <c r="D281" s="198" t="s">
        <v>244</v>
      </c>
      <c r="E281" s="214">
        <v>1</v>
      </c>
      <c r="F281" s="214">
        <v>0.55000000000000004</v>
      </c>
      <c r="G281" s="214">
        <v>0</v>
      </c>
      <c r="H281" s="214">
        <f>1.8*1.3</f>
        <v>2.3400000000000003</v>
      </c>
      <c r="I281" s="186">
        <f>0.67*1.2</f>
        <v>0.80400000000000005</v>
      </c>
      <c r="J281" s="185"/>
      <c r="K281" s="215">
        <f>F281*H281</f>
        <v>1.2870000000000004</v>
      </c>
    </row>
    <row r="282" spans="2:11" s="174" customFormat="1" ht="34.5" customHeight="1">
      <c r="B282" s="451" t="s">
        <v>358</v>
      </c>
      <c r="C282" s="451"/>
      <c r="D282" s="186" t="s">
        <v>244</v>
      </c>
      <c r="E282" s="275">
        <v>1</v>
      </c>
      <c r="F282" s="275">
        <v>0.5</v>
      </c>
      <c r="G282" s="275">
        <v>0</v>
      </c>
      <c r="H282" s="214">
        <f>78.65*1.3</f>
        <v>102.245</v>
      </c>
      <c r="I282" s="198">
        <f>38.86*1.2</f>
        <v>46.631999999999998</v>
      </c>
      <c r="J282" s="210"/>
      <c r="K282" s="215">
        <f>F282*H282</f>
        <v>51.122500000000002</v>
      </c>
    </row>
    <row r="283" spans="2:11" s="174" customFormat="1" ht="34.5" customHeight="1">
      <c r="B283" s="453" t="s">
        <v>366</v>
      </c>
      <c r="C283" s="453"/>
      <c r="D283" s="186" t="s">
        <v>244</v>
      </c>
      <c r="E283" s="275">
        <v>1</v>
      </c>
      <c r="F283" s="275">
        <v>0.26800000000000002</v>
      </c>
      <c r="G283" s="275">
        <v>0.77</v>
      </c>
      <c r="H283" s="214">
        <f>46.1*1.3</f>
        <v>59.930000000000007</v>
      </c>
      <c r="I283" s="198">
        <f>19.39*1.2</f>
        <v>23.268000000000001</v>
      </c>
      <c r="J283" s="210"/>
      <c r="K283" s="215">
        <f>F283*H283</f>
        <v>16.061240000000002</v>
      </c>
    </row>
    <row r="284" spans="2:11" s="174" customFormat="1" ht="24" customHeight="1">
      <c r="B284" s="451" t="s">
        <v>367</v>
      </c>
      <c r="C284" s="451"/>
      <c r="D284" s="186" t="s">
        <v>244</v>
      </c>
      <c r="E284" s="275">
        <v>1</v>
      </c>
      <c r="F284" s="214">
        <v>0.5</v>
      </c>
      <c r="G284" s="245">
        <v>0</v>
      </c>
      <c r="H284" s="229">
        <f>19.4*1.3</f>
        <v>25.22</v>
      </c>
      <c r="I284" s="362">
        <f>2.3*1.2</f>
        <v>2.76</v>
      </c>
      <c r="J284" s="230"/>
      <c r="K284" s="215">
        <f>F284*H284</f>
        <v>12.61</v>
      </c>
    </row>
    <row r="285" spans="2:11" s="174" customFormat="1" ht="15" customHeight="1">
      <c r="B285" s="184"/>
      <c r="C285" s="185"/>
      <c r="D285" s="211"/>
      <c r="E285" s="243"/>
      <c r="F285" s="186"/>
      <c r="G285" s="194" t="s">
        <v>306</v>
      </c>
      <c r="H285" s="302"/>
      <c r="I285" s="196"/>
      <c r="J285" s="196"/>
      <c r="K285" s="221">
        <f>SUM(K281:K284)</f>
        <v>81.080740000000006</v>
      </c>
    </row>
    <row r="286" spans="2:11" s="174" customFormat="1" ht="15" customHeight="1">
      <c r="B286" s="438" t="s">
        <v>270</v>
      </c>
      <c r="C286" s="438"/>
      <c r="D286" s="198" t="s">
        <v>221</v>
      </c>
      <c r="E286" s="198" t="s">
        <v>355</v>
      </c>
      <c r="F286" s="198" t="s">
        <v>223</v>
      </c>
      <c r="G286" s="345"/>
      <c r="H286" s="346"/>
      <c r="I286" s="363"/>
      <c r="J286" s="345"/>
      <c r="K286" s="364" t="s">
        <v>223</v>
      </c>
    </row>
    <row r="287" spans="2:11" s="174" customFormat="1" ht="21.75" customHeight="1">
      <c r="B287" s="453" t="s">
        <v>368</v>
      </c>
      <c r="C287" s="453"/>
      <c r="D287" s="198" t="s">
        <v>362</v>
      </c>
      <c r="E287" s="186">
        <v>0.17599999999999999</v>
      </c>
      <c r="F287" s="213">
        <f>284.59*1.5</f>
        <v>426.88499999999999</v>
      </c>
      <c r="G287" s="365"/>
      <c r="H287" s="216"/>
      <c r="I287" s="366"/>
      <c r="J287" s="365"/>
      <c r="K287" s="201">
        <f>E287*F287</f>
        <v>75.13176</v>
      </c>
    </row>
    <row r="288" spans="2:11" s="174" customFormat="1" ht="15" customHeight="1">
      <c r="B288" s="225" t="s">
        <v>369</v>
      </c>
      <c r="C288" s="367"/>
      <c r="D288" s="198" t="s">
        <v>261</v>
      </c>
      <c r="E288" s="213">
        <v>14</v>
      </c>
      <c r="F288" s="213">
        <f>0.15*1.3</f>
        <v>0.19500000000000001</v>
      </c>
      <c r="G288" s="365"/>
      <c r="H288" s="216"/>
      <c r="I288" s="366"/>
      <c r="J288" s="365"/>
      <c r="K288" s="201">
        <f>E288*F288</f>
        <v>2.73</v>
      </c>
    </row>
    <row r="289" spans="2:11" s="174" customFormat="1" ht="15" customHeight="1">
      <c r="B289" s="225" t="s">
        <v>370</v>
      </c>
      <c r="C289" s="367"/>
      <c r="D289" s="198" t="s">
        <v>261</v>
      </c>
      <c r="E289" s="213">
        <v>9</v>
      </c>
      <c r="F289" s="213">
        <f>0.95*1.3</f>
        <v>1.2349999999999999</v>
      </c>
      <c r="G289" s="365"/>
      <c r="H289" s="216"/>
      <c r="I289" s="366"/>
      <c r="J289" s="365"/>
      <c r="K289" s="201">
        <f>E289*F289</f>
        <v>11.114999999999998</v>
      </c>
    </row>
    <row r="290" spans="2:11" s="174" customFormat="1" ht="15" customHeight="1">
      <c r="B290" s="453" t="s">
        <v>371</v>
      </c>
      <c r="C290" s="453"/>
      <c r="D290" s="198" t="s">
        <v>316</v>
      </c>
      <c r="E290" s="213">
        <v>1.32</v>
      </c>
      <c r="F290" s="213">
        <v>20</v>
      </c>
      <c r="G290" s="336"/>
      <c r="H290" s="348"/>
      <c r="I290" s="368"/>
      <c r="J290" s="285"/>
      <c r="K290" s="201">
        <f>E290*F290</f>
        <v>26.400000000000002</v>
      </c>
    </row>
    <row r="291" spans="2:11" s="174" customFormat="1" ht="15" customHeight="1">
      <c r="B291" s="184"/>
      <c r="C291" s="185"/>
      <c r="D291" s="210"/>
      <c r="E291" s="185"/>
      <c r="F291" s="193"/>
      <c r="G291" s="194" t="s">
        <v>310</v>
      </c>
      <c r="H291" s="302"/>
      <c r="I291" s="196"/>
      <c r="J291" s="196"/>
      <c r="K291" s="221">
        <f>SUM(K287:K290)</f>
        <v>115.37676</v>
      </c>
    </row>
    <row r="292" spans="2:11" s="174" customFormat="1" ht="15" customHeight="1">
      <c r="B292" s="305" t="s">
        <v>311</v>
      </c>
      <c r="C292" s="278"/>
      <c r="D292" s="210"/>
      <c r="E292" s="210"/>
      <c r="F292" s="218"/>
      <c r="G292" s="210"/>
      <c r="H292" s="218"/>
      <c r="I292" s="210"/>
      <c r="J292" s="210"/>
      <c r="K292" s="258">
        <f>SUM(K278,K285,K291)</f>
        <v>202.62729999999999</v>
      </c>
    </row>
    <row r="293" spans="2:11" s="174" customFormat="1" ht="15" customHeight="1">
      <c r="B293" s="349" t="s">
        <v>234</v>
      </c>
      <c r="C293" s="350"/>
      <c r="D293" s="351">
        <f>'Folha Rosto Comp. P. Unit. '!B5</f>
        <v>0.3</v>
      </c>
      <c r="E293" s="352"/>
      <c r="F293" s="353"/>
      <c r="G293" s="352"/>
      <c r="H293" s="353"/>
      <c r="I293" s="352"/>
      <c r="J293" s="172"/>
      <c r="K293" s="202">
        <f>ROUND(K292*D293,2)</f>
        <v>60.79</v>
      </c>
    </row>
    <row r="294" spans="2:11" s="174" customFormat="1" ht="15" customHeight="1">
      <c r="B294" s="436" t="s">
        <v>235</v>
      </c>
      <c r="C294" s="436"/>
      <c r="D294" s="436"/>
      <c r="E294" s="436"/>
      <c r="F294" s="436"/>
      <c r="G294" s="436"/>
      <c r="H294" s="436"/>
      <c r="I294" s="436"/>
      <c r="J294" s="436"/>
      <c r="K294" s="221">
        <f>SUM(K292:K293)+0.01</f>
        <v>263.4273</v>
      </c>
    </row>
    <row r="295" spans="2:11" s="174" customFormat="1" ht="15" customHeight="1">
      <c r="B295" s="260"/>
      <c r="C295" s="260"/>
      <c r="D295" s="260"/>
      <c r="E295" s="260"/>
      <c r="F295" s="260"/>
      <c r="G295" s="260"/>
      <c r="H295" s="260"/>
      <c r="I295" s="260"/>
      <c r="J295" s="260"/>
      <c r="K295" s="261"/>
    </row>
    <row r="296" spans="2:11" s="174" customFormat="1" ht="15" customHeight="1">
      <c r="B296" s="206">
        <v>17</v>
      </c>
      <c r="C296" s="295" t="s">
        <v>216</v>
      </c>
      <c r="D296" s="443" t="s">
        <v>372</v>
      </c>
      <c r="E296" s="443"/>
      <c r="F296" s="443"/>
      <c r="G296" s="443"/>
      <c r="H296" s="443"/>
      <c r="I296" s="443"/>
      <c r="J296" s="182" t="s">
        <v>218</v>
      </c>
      <c r="K296" s="242" t="s">
        <v>316</v>
      </c>
    </row>
    <row r="297" spans="2:11" s="174" customFormat="1" ht="15" customHeight="1">
      <c r="B297" s="298" t="s">
        <v>220</v>
      </c>
      <c r="C297" s="299"/>
      <c r="D297" s="189"/>
      <c r="E297" s="243"/>
      <c r="F297" s="186" t="s">
        <v>221</v>
      </c>
      <c r="G297" s="186" t="s">
        <v>222</v>
      </c>
      <c r="H297" s="186" t="s">
        <v>281</v>
      </c>
      <c r="I297" s="434" t="s">
        <v>224</v>
      </c>
      <c r="J297" s="434"/>
      <c r="K297" s="434"/>
    </row>
    <row r="298" spans="2:11" s="174" customFormat="1" ht="15" customHeight="1">
      <c r="B298" s="209" t="s">
        <v>373</v>
      </c>
      <c r="C298" s="210"/>
      <c r="D298" s="210"/>
      <c r="E298" s="211"/>
      <c r="F298" s="198" t="s">
        <v>244</v>
      </c>
      <c r="G298" s="292">
        <v>2.6</v>
      </c>
      <c r="H298" s="214">
        <f>'Folha Rosto Comp. P. Unit. '!D7</f>
        <v>2.56</v>
      </c>
      <c r="I298" s="255"/>
      <c r="J298" s="256"/>
      <c r="K298" s="215">
        <f>ROUND(G298*H298,2)</f>
        <v>6.66</v>
      </c>
    </row>
    <row r="299" spans="2:11" s="174" customFormat="1" ht="15" customHeight="1">
      <c r="B299" s="184" t="s">
        <v>245</v>
      </c>
      <c r="C299" s="185"/>
      <c r="D299" s="185"/>
      <c r="E299" s="243"/>
      <c r="F299" s="186" t="s">
        <v>244</v>
      </c>
      <c r="G299" s="213">
        <v>13</v>
      </c>
      <c r="H299" s="213">
        <f>'Folha Rosto Comp. P. Unit. '!D8</f>
        <v>1.64</v>
      </c>
      <c r="I299" s="199"/>
      <c r="J299" s="200"/>
      <c r="K299" s="201">
        <f>ROUND(G299*H299,2)</f>
        <v>21.32</v>
      </c>
    </row>
    <row r="300" spans="2:11" s="174" customFormat="1" ht="15" customHeight="1">
      <c r="B300" s="184"/>
      <c r="C300" s="185"/>
      <c r="D300" s="216" t="s">
        <v>246</v>
      </c>
      <c r="E300" s="243"/>
      <c r="F300" s="186"/>
      <c r="G300" s="213"/>
      <c r="H300" s="213"/>
      <c r="I300" s="199"/>
      <c r="J300" s="200"/>
      <c r="K300" s="201">
        <f>SUM(K298:K299)</f>
        <v>27.98</v>
      </c>
    </row>
    <row r="301" spans="2:11" s="174" customFormat="1" ht="15" customHeight="1">
      <c r="B301" s="184" t="s">
        <v>354</v>
      </c>
      <c r="C301" s="185"/>
      <c r="D301" s="185"/>
      <c r="E301" s="243"/>
      <c r="F301" s="186"/>
      <c r="G301" s="217">
        <f>'Folha Rosto Comp. P. Unit. '!B4</f>
        <v>1.26</v>
      </c>
      <c r="H301" s="186"/>
      <c r="I301" s="189"/>
      <c r="J301" s="185"/>
      <c r="K301" s="201">
        <f>K300*G301</f>
        <v>35.254800000000003</v>
      </c>
    </row>
    <row r="302" spans="2:11" s="174" customFormat="1" ht="15" customHeight="1">
      <c r="B302" s="209"/>
      <c r="C302" s="210"/>
      <c r="D302" s="210"/>
      <c r="E302" s="210"/>
      <c r="F302" s="218"/>
      <c r="G302" s="194" t="s">
        <v>248</v>
      </c>
      <c r="H302" s="195"/>
      <c r="I302" s="196"/>
      <c r="J302" s="196"/>
      <c r="K302" s="221">
        <f>SUM(K300:K301)</f>
        <v>63.234800000000007</v>
      </c>
    </row>
    <row r="303" spans="2:11" s="174" customFormat="1" ht="15" customHeight="1">
      <c r="B303" s="438" t="s">
        <v>270</v>
      </c>
      <c r="C303" s="438"/>
      <c r="D303" s="438"/>
      <c r="E303" s="438"/>
      <c r="F303" s="198" t="s">
        <v>221</v>
      </c>
      <c r="G303" s="198" t="s">
        <v>301</v>
      </c>
      <c r="H303" s="198" t="s">
        <v>223</v>
      </c>
      <c r="I303" s="435" t="s">
        <v>224</v>
      </c>
      <c r="J303" s="435"/>
      <c r="K303" s="435"/>
    </row>
    <row r="304" spans="2:11" s="174" customFormat="1" ht="15" customHeight="1">
      <c r="B304" s="209" t="s">
        <v>374</v>
      </c>
      <c r="C304" s="210"/>
      <c r="D304" s="210"/>
      <c r="E304" s="211"/>
      <c r="F304" s="198" t="s">
        <v>375</v>
      </c>
      <c r="G304" s="214">
        <v>7.55</v>
      </c>
      <c r="H304" s="214">
        <v>18</v>
      </c>
      <c r="I304" s="255"/>
      <c r="J304" s="256"/>
      <c r="K304" s="215">
        <f>ROUND(G304*H304,2)</f>
        <v>135.9</v>
      </c>
    </row>
    <row r="305" spans="2:11" s="174" customFormat="1" ht="15" customHeight="1">
      <c r="B305" s="184" t="s">
        <v>371</v>
      </c>
      <c r="C305" s="185"/>
      <c r="D305" s="185"/>
      <c r="E305" s="243"/>
      <c r="F305" s="186" t="s">
        <v>316</v>
      </c>
      <c r="G305" s="213">
        <v>0.65</v>
      </c>
      <c r="H305" s="213">
        <v>20</v>
      </c>
      <c r="I305" s="199"/>
      <c r="J305" s="200"/>
      <c r="K305" s="201">
        <f>ROUND(G305*H305,2)</f>
        <v>13</v>
      </c>
    </row>
    <row r="306" spans="2:11" s="174" customFormat="1" ht="15" customHeight="1">
      <c r="B306" s="184" t="s">
        <v>376</v>
      </c>
      <c r="C306" s="185"/>
      <c r="D306" s="185"/>
      <c r="E306" s="243"/>
      <c r="F306" s="186" t="s">
        <v>316</v>
      </c>
      <c r="G306" s="213">
        <v>0.8</v>
      </c>
      <c r="H306" s="213">
        <v>50</v>
      </c>
      <c r="I306" s="199"/>
      <c r="J306" s="200"/>
      <c r="K306" s="215">
        <f>ROUND(G306*H306,2)</f>
        <v>40</v>
      </c>
    </row>
    <row r="307" spans="2:11" s="174" customFormat="1" ht="15" customHeight="1">
      <c r="B307" s="184"/>
      <c r="C307" s="185"/>
      <c r="D307" s="185"/>
      <c r="E307" s="243"/>
      <c r="F307" s="186"/>
      <c r="G307" s="194" t="s">
        <v>306</v>
      </c>
      <c r="H307" s="302"/>
      <c r="I307" s="196"/>
      <c r="J307" s="196"/>
      <c r="K307" s="221">
        <f>SUM(K304:K306)</f>
        <v>188.9</v>
      </c>
    </row>
    <row r="308" spans="2:11" s="174" customFormat="1" ht="15" customHeight="1">
      <c r="B308" s="209" t="s">
        <v>377</v>
      </c>
      <c r="C308" s="278"/>
      <c r="D308" s="210"/>
      <c r="E308" s="210"/>
      <c r="F308" s="218"/>
      <c r="G308" s="210"/>
      <c r="H308" s="218"/>
      <c r="I308" s="210"/>
      <c r="J308" s="210"/>
      <c r="K308" s="258">
        <f>SUM(K302,K307)</f>
        <v>252.13480000000001</v>
      </c>
    </row>
    <row r="309" spans="2:11" s="174" customFormat="1" ht="15" customHeight="1">
      <c r="B309" s="369" t="s">
        <v>234</v>
      </c>
      <c r="C309" s="370"/>
      <c r="D309" s="351">
        <f>'Folha Rosto Comp. P. Unit. '!B5</f>
        <v>0.3</v>
      </c>
      <c r="E309" s="172"/>
      <c r="F309" s="323"/>
      <c r="G309" s="172"/>
      <c r="H309" s="323"/>
      <c r="I309" s="172"/>
      <c r="J309" s="172"/>
      <c r="K309" s="202">
        <f>ROUND(K308*D309,2)</f>
        <v>75.64</v>
      </c>
    </row>
    <row r="310" spans="2:11" s="174" customFormat="1" ht="15" customHeight="1">
      <c r="B310" s="436" t="s">
        <v>235</v>
      </c>
      <c r="C310" s="436"/>
      <c r="D310" s="436"/>
      <c r="E310" s="436"/>
      <c r="F310" s="436"/>
      <c r="G310" s="436"/>
      <c r="H310" s="436"/>
      <c r="I310" s="436"/>
      <c r="J310" s="436"/>
      <c r="K310" s="221">
        <f>SUM(K308:K309)</f>
        <v>327.77480000000003</v>
      </c>
    </row>
    <row r="311" spans="2:11" s="174" customFormat="1" ht="15" customHeight="1">
      <c r="B311" s="260"/>
      <c r="C311" s="260"/>
      <c r="D311" s="260"/>
      <c r="E311" s="260"/>
      <c r="F311" s="260"/>
      <c r="G311" s="260"/>
      <c r="H311" s="260"/>
      <c r="I311" s="260"/>
      <c r="J311" s="260"/>
      <c r="K311" s="261"/>
    </row>
    <row r="312" spans="2:11" s="174" customFormat="1" ht="15" customHeight="1">
      <c r="B312" s="206">
        <v>18</v>
      </c>
      <c r="C312" s="295" t="s">
        <v>216</v>
      </c>
      <c r="D312" s="455" t="s">
        <v>378</v>
      </c>
      <c r="E312" s="455"/>
      <c r="F312" s="455"/>
      <c r="G312" s="455"/>
      <c r="H312" s="455"/>
      <c r="I312" s="455"/>
      <c r="J312" s="296" t="s">
        <v>218</v>
      </c>
      <c r="K312" s="297" t="s">
        <v>241</v>
      </c>
    </row>
    <row r="313" spans="2:11" s="174" customFormat="1" ht="15" customHeight="1">
      <c r="B313" s="298" t="s">
        <v>220</v>
      </c>
      <c r="C313" s="299"/>
      <c r="D313" s="189"/>
      <c r="E313" s="243"/>
      <c r="F313" s="186" t="s">
        <v>221</v>
      </c>
      <c r="G313" s="186" t="s">
        <v>222</v>
      </c>
      <c r="H313" s="186" t="s">
        <v>281</v>
      </c>
      <c r="I313" s="434" t="s">
        <v>224</v>
      </c>
      <c r="J313" s="434"/>
      <c r="K313" s="434"/>
    </row>
    <row r="314" spans="2:11" s="174" customFormat="1" ht="15" customHeight="1">
      <c r="B314" s="184" t="s">
        <v>269</v>
      </c>
      <c r="C314" s="185"/>
      <c r="D314" s="185"/>
      <c r="E314" s="243"/>
      <c r="F314" s="186" t="s">
        <v>244</v>
      </c>
      <c r="G314" s="213">
        <v>1</v>
      </c>
      <c r="H314" s="214">
        <f>'Folha Rosto Comp. P. Unit. '!D7</f>
        <v>2.56</v>
      </c>
      <c r="I314" s="191"/>
      <c r="J314" s="193"/>
      <c r="K314" s="215">
        <f>ROUND(G314*H314,2)</f>
        <v>2.56</v>
      </c>
    </row>
    <row r="315" spans="2:11" s="174" customFormat="1" ht="15" customHeight="1">
      <c r="B315" s="184" t="s">
        <v>245</v>
      </c>
      <c r="C315" s="185"/>
      <c r="D315" s="185"/>
      <c r="E315" s="243"/>
      <c r="F315" s="186" t="s">
        <v>244</v>
      </c>
      <c r="G315" s="213">
        <v>3</v>
      </c>
      <c r="H315" s="214">
        <f>'Folha Rosto Comp. P. Unit. '!D8</f>
        <v>1.64</v>
      </c>
      <c r="I315" s="199"/>
      <c r="J315" s="200"/>
      <c r="K315" s="215">
        <f>ROUND(G315*H315,2)</f>
        <v>4.92</v>
      </c>
    </row>
    <row r="316" spans="2:11" s="174" customFormat="1" ht="15" customHeight="1">
      <c r="B316" s="184"/>
      <c r="C316" s="185"/>
      <c r="D316" s="216" t="s">
        <v>246</v>
      </c>
      <c r="E316" s="243"/>
      <c r="F316" s="186"/>
      <c r="G316" s="213"/>
      <c r="H316" s="213"/>
      <c r="I316" s="199"/>
      <c r="J316" s="200"/>
      <c r="K316" s="201">
        <f>SUM(K314:K315)</f>
        <v>7.48</v>
      </c>
    </row>
    <row r="317" spans="2:11" s="174" customFormat="1" ht="15" customHeight="1">
      <c r="B317" s="184" t="s">
        <v>354</v>
      </c>
      <c r="C317" s="185"/>
      <c r="D317" s="185"/>
      <c r="E317" s="243"/>
      <c r="F317" s="186"/>
      <c r="G317" s="217">
        <f>'Folha Rosto Comp. P. Unit. '!B4</f>
        <v>1.26</v>
      </c>
      <c r="H317" s="186"/>
      <c r="I317" s="189"/>
      <c r="J317" s="185"/>
      <c r="K317" s="201">
        <f>K316*G317</f>
        <v>9.4248000000000012</v>
      </c>
    </row>
    <row r="318" spans="2:11" s="174" customFormat="1" ht="15" customHeight="1">
      <c r="B318" s="209"/>
      <c r="C318" s="210"/>
      <c r="D318" s="210"/>
      <c r="E318" s="210"/>
      <c r="F318" s="218"/>
      <c r="G318" s="194" t="s">
        <v>248</v>
      </c>
      <c r="H318" s="195"/>
      <c r="I318" s="196"/>
      <c r="J318" s="196"/>
      <c r="K318" s="221">
        <f>SUM(K316:K317)</f>
        <v>16.904800000000002</v>
      </c>
    </row>
    <row r="319" spans="2:11" s="174" customFormat="1" ht="15" customHeight="1">
      <c r="B319" s="456" t="s">
        <v>270</v>
      </c>
      <c r="C319" s="456"/>
      <c r="D319" s="456"/>
      <c r="E319" s="456"/>
      <c r="F319" s="279" t="s">
        <v>221</v>
      </c>
      <c r="G319" s="279" t="s">
        <v>301</v>
      </c>
      <c r="H319" s="279" t="s">
        <v>223</v>
      </c>
      <c r="I319" s="457" t="s">
        <v>224</v>
      </c>
      <c r="J319" s="457"/>
      <c r="K319" s="457"/>
    </row>
    <row r="320" spans="2:11" s="174" customFormat="1" ht="15" customHeight="1">
      <c r="B320" s="371" t="s">
        <v>379</v>
      </c>
      <c r="C320" s="372"/>
      <c r="D320" s="269"/>
      <c r="E320" s="358"/>
      <c r="F320" s="270" t="s">
        <v>272</v>
      </c>
      <c r="G320" s="271">
        <v>0.45</v>
      </c>
      <c r="H320" s="373">
        <v>58.9</v>
      </c>
      <c r="I320" s="374"/>
      <c r="J320" s="269"/>
      <c r="K320" s="375">
        <f>ROUND(G320*H320,2)</f>
        <v>26.51</v>
      </c>
    </row>
    <row r="321" spans="2:11" s="174" customFormat="1" ht="15" customHeight="1">
      <c r="B321" s="227" t="s">
        <v>380</v>
      </c>
      <c r="C321" s="193"/>
      <c r="D321" s="185"/>
      <c r="E321" s="243"/>
      <c r="F321" s="186" t="s">
        <v>272</v>
      </c>
      <c r="G321" s="213">
        <v>0.15</v>
      </c>
      <c r="H321" s="316">
        <v>38.9</v>
      </c>
      <c r="I321" s="189"/>
      <c r="J321" s="185"/>
      <c r="K321" s="376">
        <f>ROUND(G321*H321,2)</f>
        <v>5.84</v>
      </c>
    </row>
    <row r="322" spans="2:11" s="174" customFormat="1" ht="15" customHeight="1">
      <c r="B322" s="227" t="s">
        <v>381</v>
      </c>
      <c r="C322" s="193"/>
      <c r="D322" s="185"/>
      <c r="E322" s="243"/>
      <c r="F322" s="186" t="s">
        <v>272</v>
      </c>
      <c r="G322" s="213">
        <v>0.33989999999999998</v>
      </c>
      <c r="H322" s="316">
        <v>38.9</v>
      </c>
      <c r="I322" s="189"/>
      <c r="J322" s="185"/>
      <c r="K322" s="376">
        <f>ROUND(G322*H322,2)</f>
        <v>13.22</v>
      </c>
    </row>
    <row r="323" spans="2:11" s="174" customFormat="1" ht="15" customHeight="1">
      <c r="B323" s="227"/>
      <c r="C323" s="185"/>
      <c r="D323" s="185"/>
      <c r="E323" s="243"/>
      <c r="F323" s="186"/>
      <c r="G323" s="194"/>
      <c r="H323" s="302"/>
      <c r="I323" s="196"/>
      <c r="J323" s="196"/>
      <c r="K323" s="221">
        <f>SUM(K320:K322)</f>
        <v>45.57</v>
      </c>
    </row>
    <row r="324" spans="2:11" s="174" customFormat="1" ht="15" customHeight="1">
      <c r="B324" s="305" t="s">
        <v>311</v>
      </c>
      <c r="C324" s="278"/>
      <c r="D324" s="210"/>
      <c r="E324" s="210"/>
      <c r="F324" s="218"/>
      <c r="G324" s="210"/>
      <c r="H324" s="218"/>
      <c r="I324" s="210"/>
      <c r="J324" s="210"/>
      <c r="K324" s="258">
        <f>SUM(K318+K323)</f>
        <v>62.474800000000002</v>
      </c>
    </row>
    <row r="325" spans="2:11" s="174" customFormat="1" ht="15" customHeight="1">
      <c r="B325" s="349" t="s">
        <v>234</v>
      </c>
      <c r="C325" s="350"/>
      <c r="D325" s="351">
        <f>'Folha Rosto Comp. P. Unit. '!B5</f>
        <v>0.3</v>
      </c>
      <c r="E325" s="352"/>
      <c r="F325" s="353"/>
      <c r="G325" s="352"/>
      <c r="H325" s="353"/>
      <c r="I325" s="352"/>
      <c r="J325" s="172"/>
      <c r="K325" s="202">
        <f>ROUND(K324*D325,2)</f>
        <v>18.739999999999998</v>
      </c>
    </row>
    <row r="326" spans="2:11" s="174" customFormat="1" ht="15" customHeight="1">
      <c r="B326" s="436" t="s">
        <v>295</v>
      </c>
      <c r="C326" s="436"/>
      <c r="D326" s="436"/>
      <c r="E326" s="436"/>
      <c r="F326" s="436"/>
      <c r="G326" s="436"/>
      <c r="H326" s="436"/>
      <c r="I326" s="436"/>
      <c r="J326" s="436"/>
      <c r="K326" s="221">
        <f>SUM(K324:K325)</f>
        <v>81.214799999999997</v>
      </c>
    </row>
    <row r="327" spans="2:11" s="174" customFormat="1" ht="15" customHeight="1">
      <c r="B327" s="260"/>
      <c r="C327" s="260"/>
      <c r="D327" s="260"/>
      <c r="E327" s="260"/>
      <c r="F327" s="260"/>
      <c r="G327" s="260"/>
      <c r="H327" s="260"/>
      <c r="I327" s="260"/>
      <c r="J327" s="260"/>
      <c r="K327" s="261"/>
    </row>
    <row r="328" spans="2:11" s="174" customFormat="1" ht="15" customHeight="1">
      <c r="B328" s="206">
        <v>19</v>
      </c>
      <c r="C328" s="377" t="s">
        <v>216</v>
      </c>
      <c r="D328" s="458" t="s">
        <v>382</v>
      </c>
      <c r="E328" s="458"/>
      <c r="F328" s="458"/>
      <c r="G328" s="458"/>
      <c r="H328" s="458"/>
      <c r="I328" s="458"/>
      <c r="J328" s="182" t="s">
        <v>218</v>
      </c>
      <c r="K328" s="242" t="s">
        <v>316</v>
      </c>
    </row>
    <row r="329" spans="2:11" s="174" customFormat="1" ht="15" customHeight="1">
      <c r="B329" s="444" t="s">
        <v>318</v>
      </c>
      <c r="C329" s="444"/>
      <c r="D329" s="445" t="s">
        <v>347</v>
      </c>
      <c r="E329" s="445" t="s">
        <v>331</v>
      </c>
      <c r="F329" s="445" t="s">
        <v>332</v>
      </c>
      <c r="G329" s="445"/>
      <c r="H329" s="445" t="s">
        <v>383</v>
      </c>
      <c r="I329" s="445"/>
      <c r="J329" s="435" t="s">
        <v>224</v>
      </c>
      <c r="K329" s="435"/>
    </row>
    <row r="330" spans="2:11" s="174" customFormat="1" ht="15" customHeight="1">
      <c r="B330" s="444"/>
      <c r="C330" s="444"/>
      <c r="D330" s="445"/>
      <c r="E330" s="445"/>
      <c r="F330" s="222" t="s">
        <v>334</v>
      </c>
      <c r="G330" s="222" t="s">
        <v>335</v>
      </c>
      <c r="H330" s="222" t="s">
        <v>334</v>
      </c>
      <c r="I330" s="222" t="s">
        <v>335</v>
      </c>
      <c r="J330" s="435"/>
      <c r="K330" s="435"/>
    </row>
    <row r="331" spans="2:11" s="174" customFormat="1" ht="15" customHeight="1">
      <c r="B331" s="184" t="s">
        <v>384</v>
      </c>
      <c r="C331" s="243"/>
      <c r="D331" s="278"/>
      <c r="E331" s="378">
        <v>1</v>
      </c>
      <c r="F331" s="214">
        <v>0.2</v>
      </c>
      <c r="G331" s="276"/>
      <c r="H331" s="214">
        <v>13</v>
      </c>
      <c r="I331" s="276"/>
      <c r="J331" s="256"/>
      <c r="K331" s="215">
        <f>ROUND(F331*H331,2)</f>
        <v>2.6</v>
      </c>
    </row>
    <row r="332" spans="2:11" s="174" customFormat="1" ht="15" customHeight="1">
      <c r="B332" s="184" t="s">
        <v>337</v>
      </c>
      <c r="C332" s="243"/>
      <c r="D332" s="278"/>
      <c r="E332" s="378">
        <v>1</v>
      </c>
      <c r="F332" s="186">
        <f>1-G332</f>
        <v>0.95</v>
      </c>
      <c r="G332" s="186">
        <v>0.05</v>
      </c>
      <c r="H332" s="316">
        <v>53</v>
      </c>
      <c r="I332" s="191"/>
      <c r="J332" s="193"/>
      <c r="K332" s="379">
        <f>H332*G332</f>
        <v>2.6500000000000004</v>
      </c>
    </row>
    <row r="333" spans="2:11" s="174" customFormat="1" ht="15" customHeight="1">
      <c r="B333" s="184" t="s">
        <v>385</v>
      </c>
      <c r="C333" s="243"/>
      <c r="D333" s="278"/>
      <c r="E333" s="378">
        <v>1</v>
      </c>
      <c r="F333" s="186">
        <f>1-G333</f>
        <v>0.95</v>
      </c>
      <c r="G333" s="186">
        <v>0.05</v>
      </c>
      <c r="H333" s="316">
        <v>64</v>
      </c>
      <c r="I333" s="191"/>
      <c r="J333" s="193"/>
      <c r="K333" s="379">
        <f>H333*G333</f>
        <v>3.2</v>
      </c>
    </row>
    <row r="334" spans="2:11" s="174" customFormat="1" ht="15" customHeight="1">
      <c r="B334" s="209"/>
      <c r="C334" s="210"/>
      <c r="D334" s="210"/>
      <c r="E334" s="210"/>
      <c r="F334" s="380"/>
      <c r="G334" s="194" t="s">
        <v>386</v>
      </c>
      <c r="H334" s="195"/>
      <c r="I334" s="196"/>
      <c r="J334" s="196"/>
      <c r="K334" s="197">
        <f>SUM(K331:K333)</f>
        <v>8.4499999999999993</v>
      </c>
    </row>
    <row r="335" spans="2:11" s="174" customFormat="1" ht="15" customHeight="1">
      <c r="B335" s="298" t="s">
        <v>220</v>
      </c>
      <c r="C335" s="299"/>
      <c r="D335" s="189"/>
      <c r="E335" s="243"/>
      <c r="F335" s="186" t="s">
        <v>221</v>
      </c>
      <c r="G335" s="270" t="s">
        <v>222</v>
      </c>
      <c r="H335" s="270" t="s">
        <v>223</v>
      </c>
      <c r="I335" s="435" t="s">
        <v>224</v>
      </c>
      <c r="J335" s="435"/>
      <c r="K335" s="435"/>
    </row>
    <row r="336" spans="2:11" s="174" customFormat="1" ht="15" customHeight="1">
      <c r="B336" s="184" t="s">
        <v>245</v>
      </c>
      <c r="C336" s="185"/>
      <c r="D336" s="185"/>
      <c r="E336" s="243"/>
      <c r="F336" s="186" t="s">
        <v>244</v>
      </c>
      <c r="G336" s="213">
        <v>1.06</v>
      </c>
      <c r="H336" s="213">
        <f>'Folha Rosto Comp. P. Unit. '!D8</f>
        <v>1.64</v>
      </c>
      <c r="I336" s="199"/>
      <c r="J336" s="200"/>
      <c r="K336" s="215">
        <f>ROUND(G336*H336,2)</f>
        <v>1.74</v>
      </c>
    </row>
    <row r="337" spans="2:11" s="174" customFormat="1" ht="15" customHeight="1">
      <c r="B337" s="184"/>
      <c r="C337" s="185"/>
      <c r="D337" s="216" t="s">
        <v>246</v>
      </c>
      <c r="E337" s="243"/>
      <c r="F337" s="186"/>
      <c r="G337" s="213"/>
      <c r="H337" s="213"/>
      <c r="I337" s="199"/>
      <c r="J337" s="200"/>
      <c r="K337" s="201">
        <f>SUM(K336)</f>
        <v>1.74</v>
      </c>
    </row>
    <row r="338" spans="2:11" s="174" customFormat="1" ht="15" customHeight="1">
      <c r="B338" s="184" t="s">
        <v>354</v>
      </c>
      <c r="C338" s="185"/>
      <c r="D338" s="185"/>
      <c r="E338" s="243"/>
      <c r="F338" s="299"/>
      <c r="G338" s="217">
        <f>'Folha Rosto Comp. P. Unit. '!B4</f>
        <v>1.26</v>
      </c>
      <c r="H338" s="186"/>
      <c r="I338" s="189"/>
      <c r="J338" s="185"/>
      <c r="K338" s="201">
        <f>K337*G338</f>
        <v>2.1924000000000001</v>
      </c>
    </row>
    <row r="339" spans="2:11" s="174" customFormat="1" ht="15" customHeight="1">
      <c r="B339" s="209"/>
      <c r="C339" s="210"/>
      <c r="D339" s="210"/>
      <c r="E339" s="210"/>
      <c r="F339" s="210"/>
      <c r="G339" s="194" t="s">
        <v>306</v>
      </c>
      <c r="H339" s="302"/>
      <c r="I339" s="196"/>
      <c r="J339" s="196"/>
      <c r="K339" s="221">
        <f>SUM(K337:K338)</f>
        <v>3.9324000000000003</v>
      </c>
    </row>
    <row r="340" spans="2:11" s="174" customFormat="1" ht="15" customHeight="1">
      <c r="B340" s="459" t="s">
        <v>387</v>
      </c>
      <c r="C340" s="459"/>
      <c r="D340" s="459"/>
      <c r="E340" s="459"/>
      <c r="F340" s="186" t="s">
        <v>221</v>
      </c>
      <c r="G340" s="270" t="s">
        <v>222</v>
      </c>
      <c r="H340" s="270" t="s">
        <v>223</v>
      </c>
      <c r="I340" s="435" t="s">
        <v>224</v>
      </c>
      <c r="J340" s="435"/>
      <c r="K340" s="435"/>
    </row>
    <row r="341" spans="2:11" s="174" customFormat="1" ht="15" customHeight="1">
      <c r="B341" s="184" t="s">
        <v>388</v>
      </c>
      <c r="C341" s="185"/>
      <c r="D341" s="185"/>
      <c r="E341" s="243"/>
      <c r="F341" s="186" t="s">
        <v>316</v>
      </c>
      <c r="G341" s="213">
        <v>1.3</v>
      </c>
      <c r="H341" s="213">
        <v>10</v>
      </c>
      <c r="I341" s="199"/>
      <c r="J341" s="200"/>
      <c r="K341" s="215">
        <f>ROUND(G341*H341,2)</f>
        <v>13</v>
      </c>
    </row>
    <row r="342" spans="2:11" s="174" customFormat="1" ht="15" customHeight="1">
      <c r="B342" s="184"/>
      <c r="C342" s="185"/>
      <c r="D342" s="216" t="s">
        <v>246</v>
      </c>
      <c r="E342" s="243"/>
      <c r="F342" s="186"/>
      <c r="G342" s="213"/>
      <c r="H342" s="213"/>
      <c r="I342" s="199"/>
      <c r="J342" s="200"/>
      <c r="K342" s="201">
        <f>SUM(K341)</f>
        <v>13</v>
      </c>
    </row>
    <row r="343" spans="2:11" s="174" customFormat="1" ht="15" customHeight="1">
      <c r="B343" s="184"/>
      <c r="C343" s="185"/>
      <c r="D343" s="185"/>
      <c r="E343" s="243"/>
      <c r="F343" s="299"/>
      <c r="G343" s="217"/>
      <c r="H343" s="186"/>
      <c r="I343" s="189"/>
      <c r="J343" s="185"/>
      <c r="K343" s="201">
        <f>K342*G343</f>
        <v>0</v>
      </c>
    </row>
    <row r="344" spans="2:11" s="174" customFormat="1" ht="15" customHeight="1">
      <c r="B344" s="209"/>
      <c r="C344" s="210"/>
      <c r="D344" s="210"/>
      <c r="E344" s="210"/>
      <c r="F344" s="210"/>
      <c r="G344" s="194" t="s">
        <v>310</v>
      </c>
      <c r="H344" s="302"/>
      <c r="I344" s="196"/>
      <c r="J344" s="196"/>
      <c r="K344" s="221">
        <f>SUM(K342:K343)</f>
        <v>13</v>
      </c>
    </row>
    <row r="345" spans="2:11" s="174" customFormat="1" ht="15" customHeight="1">
      <c r="B345" s="305" t="s">
        <v>389</v>
      </c>
      <c r="C345" s="278"/>
      <c r="D345" s="278"/>
      <c r="E345" s="278"/>
      <c r="F345" s="278"/>
      <c r="G345" s="210"/>
      <c r="H345" s="218"/>
      <c r="I345" s="210"/>
      <c r="J345" s="210"/>
      <c r="K345" s="258">
        <f>SUM(K334+K339+K344)</f>
        <v>25.382400000000001</v>
      </c>
    </row>
    <row r="346" spans="2:11" s="174" customFormat="1" ht="15" customHeight="1">
      <c r="B346" s="349" t="s">
        <v>234</v>
      </c>
      <c r="C346" s="350"/>
      <c r="D346" s="351">
        <f>'Folha Rosto Comp. P. Unit. '!B5</f>
        <v>0.3</v>
      </c>
      <c r="E346" s="352"/>
      <c r="F346" s="352"/>
      <c r="G346" s="352"/>
      <c r="H346" s="353"/>
      <c r="I346" s="352"/>
      <c r="J346" s="172"/>
      <c r="K346" s="202">
        <f>ROUND(K345*D346,2)</f>
        <v>7.61</v>
      </c>
    </row>
    <row r="347" spans="2:11" s="174" customFormat="1" ht="15" customHeight="1">
      <c r="B347" s="436" t="s">
        <v>235</v>
      </c>
      <c r="C347" s="436"/>
      <c r="D347" s="436"/>
      <c r="E347" s="436"/>
      <c r="F347" s="436"/>
      <c r="G347" s="436"/>
      <c r="H347" s="436"/>
      <c r="I347" s="436"/>
      <c r="J347" s="436"/>
      <c r="K347" s="221">
        <f>SUM(K345:K346)</f>
        <v>32.992400000000004</v>
      </c>
    </row>
    <row r="348" spans="2:11" s="174" customFormat="1" ht="15" customHeight="1">
      <c r="B348" s="260"/>
      <c r="C348" s="260"/>
      <c r="D348" s="260"/>
      <c r="E348" s="260"/>
      <c r="F348" s="260"/>
      <c r="G348" s="260"/>
      <c r="H348" s="260"/>
      <c r="I348" s="260"/>
      <c r="J348" s="260"/>
      <c r="K348" s="261"/>
    </row>
    <row r="349" spans="2:11" s="174" customFormat="1" ht="15" customHeight="1">
      <c r="B349" s="206">
        <v>20</v>
      </c>
      <c r="C349" s="338" t="s">
        <v>216</v>
      </c>
      <c r="D349" s="443" t="s">
        <v>390</v>
      </c>
      <c r="E349" s="443"/>
      <c r="F349" s="443"/>
      <c r="G349" s="443"/>
      <c r="H349" s="443"/>
      <c r="I349" s="443"/>
      <c r="J349" s="182" t="s">
        <v>218</v>
      </c>
      <c r="K349" s="242" t="s">
        <v>241</v>
      </c>
    </row>
    <row r="350" spans="2:11" s="174" customFormat="1" ht="15" customHeight="1">
      <c r="B350" s="339" t="s">
        <v>220</v>
      </c>
      <c r="C350" s="340"/>
      <c r="D350" s="341"/>
      <c r="E350" s="329"/>
      <c r="F350" s="342" t="s">
        <v>221</v>
      </c>
      <c r="G350" s="342" t="s">
        <v>222</v>
      </c>
      <c r="H350" s="342" t="s">
        <v>281</v>
      </c>
      <c r="I350" s="450" t="s">
        <v>228</v>
      </c>
      <c r="J350" s="450"/>
      <c r="K350" s="450"/>
    </row>
    <row r="351" spans="2:11" s="174" customFormat="1" ht="15" customHeight="1">
      <c r="B351" s="184" t="s">
        <v>353</v>
      </c>
      <c r="C351" s="185"/>
      <c r="D351" s="185"/>
      <c r="E351" s="243"/>
      <c r="F351" s="186" t="s">
        <v>244</v>
      </c>
      <c r="G351" s="326">
        <v>1E-3</v>
      </c>
      <c r="H351" s="213">
        <v>3.81</v>
      </c>
      <c r="I351" s="191"/>
      <c r="J351" s="193"/>
      <c r="K351" s="381">
        <f>ROUND(G351*H351,2)</f>
        <v>0</v>
      </c>
    </row>
    <row r="352" spans="2:11" s="174" customFormat="1" ht="15" customHeight="1">
      <c r="B352" s="184" t="s">
        <v>245</v>
      </c>
      <c r="C352" s="185"/>
      <c r="D352" s="185"/>
      <c r="E352" s="243"/>
      <c r="F352" s="186" t="s">
        <v>244</v>
      </c>
      <c r="G352" s="326">
        <f>G351</f>
        <v>1E-3</v>
      </c>
      <c r="H352" s="213">
        <f>'Folha Rosto Comp. P. Unit. '!D8</f>
        <v>1.64</v>
      </c>
      <c r="I352" s="199"/>
      <c r="J352" s="200"/>
      <c r="K352" s="381">
        <f>ROUND(G352*H352,2)</f>
        <v>0</v>
      </c>
    </row>
    <row r="353" spans="2:11" s="174" customFormat="1" ht="15" customHeight="1">
      <c r="B353" s="184"/>
      <c r="C353" s="185"/>
      <c r="D353" s="216" t="s">
        <v>246</v>
      </c>
      <c r="E353" s="243"/>
      <c r="F353" s="186"/>
      <c r="G353" s="229"/>
      <c r="H353" s="229"/>
      <c r="I353" s="280"/>
      <c r="J353" s="230"/>
      <c r="K353" s="231">
        <f>SUM(K351:K352)</f>
        <v>0</v>
      </c>
    </row>
    <row r="354" spans="2:11" s="174" customFormat="1" ht="15" customHeight="1">
      <c r="B354" s="184" t="s">
        <v>354</v>
      </c>
      <c r="C354" s="185"/>
      <c r="D354" s="185"/>
      <c r="E354" s="243"/>
      <c r="F354" s="186"/>
      <c r="G354" s="343">
        <f>'Folha Rosto Comp. P. Unit. '!B4</f>
        <v>1.26</v>
      </c>
      <c r="H354" s="342"/>
      <c r="I354" s="341"/>
      <c r="J354" s="234"/>
      <c r="K354" s="344">
        <f>K353*G354</f>
        <v>0</v>
      </c>
    </row>
    <row r="355" spans="2:11" s="174" customFormat="1" ht="15" customHeight="1">
      <c r="B355" s="184"/>
      <c r="C355" s="185"/>
      <c r="D355" s="185"/>
      <c r="E355" s="185"/>
      <c r="F355" s="224"/>
      <c r="G355" s="194" t="s">
        <v>248</v>
      </c>
      <c r="H355" s="195"/>
      <c r="I355" s="196"/>
      <c r="J355" s="196"/>
      <c r="K355" s="382">
        <f>SUM(K353:K354)</f>
        <v>0</v>
      </c>
    </row>
    <row r="356" spans="2:11" s="174" customFormat="1" ht="15" customHeight="1">
      <c r="B356" s="448" t="s">
        <v>307</v>
      </c>
      <c r="C356" s="448"/>
      <c r="D356" s="449" t="s">
        <v>221</v>
      </c>
      <c r="E356" s="449" t="s">
        <v>355</v>
      </c>
      <c r="F356" s="449" t="s">
        <v>332</v>
      </c>
      <c r="G356" s="449"/>
      <c r="H356" s="449" t="s">
        <v>356</v>
      </c>
      <c r="I356" s="449"/>
      <c r="J356" s="434" t="s">
        <v>228</v>
      </c>
      <c r="K356" s="434"/>
    </row>
    <row r="357" spans="2:11" s="174" customFormat="1" ht="15" customHeight="1">
      <c r="B357" s="448"/>
      <c r="C357" s="448"/>
      <c r="D357" s="449"/>
      <c r="E357" s="449"/>
      <c r="F357" s="198" t="s">
        <v>334</v>
      </c>
      <c r="G357" s="198" t="s">
        <v>335</v>
      </c>
      <c r="H357" s="288" t="s">
        <v>334</v>
      </c>
      <c r="I357" s="198" t="s">
        <v>335</v>
      </c>
      <c r="J357" s="434"/>
      <c r="K357" s="434"/>
    </row>
    <row r="358" spans="2:11" s="174" customFormat="1" ht="24.75" customHeight="1">
      <c r="B358" s="451"/>
      <c r="C358" s="451"/>
      <c r="D358" s="198"/>
      <c r="E358" s="214"/>
      <c r="F358" s="214"/>
      <c r="G358" s="214"/>
      <c r="H358" s="214"/>
      <c r="I358" s="198"/>
      <c r="J358" s="210"/>
      <c r="K358" s="215"/>
    </row>
    <row r="359" spans="2:11" s="174" customFormat="1" ht="22.9" customHeight="1">
      <c r="B359" s="452"/>
      <c r="C359" s="452"/>
      <c r="D359" s="186"/>
      <c r="E359" s="188"/>
      <c r="F359" s="188"/>
      <c r="G359" s="188"/>
      <c r="H359" s="213"/>
      <c r="I359" s="186"/>
      <c r="J359" s="185"/>
      <c r="K359" s="201"/>
    </row>
    <row r="360" spans="2:11" s="174" customFormat="1" ht="30.75" customHeight="1">
      <c r="B360" s="453"/>
      <c r="C360" s="453"/>
      <c r="D360" s="186"/>
      <c r="E360" s="275"/>
      <c r="F360" s="275"/>
      <c r="G360" s="275"/>
      <c r="H360" s="214"/>
      <c r="I360" s="198"/>
      <c r="J360" s="210"/>
      <c r="K360" s="215"/>
    </row>
    <row r="361" spans="2:11" s="174" customFormat="1" ht="23.25" customHeight="1">
      <c r="B361" s="451"/>
      <c r="C361" s="451"/>
      <c r="D361" s="186"/>
      <c r="E361" s="275"/>
      <c r="F361" s="214"/>
      <c r="G361" s="245"/>
      <c r="H361" s="229"/>
      <c r="I361" s="342"/>
      <c r="J361" s="172"/>
      <c r="K361" s="215"/>
    </row>
    <row r="362" spans="2:11" s="174" customFormat="1" ht="15" customHeight="1">
      <c r="B362" s="184"/>
      <c r="C362" s="185"/>
      <c r="D362" s="211"/>
      <c r="E362" s="243"/>
      <c r="F362" s="186"/>
      <c r="G362" s="194" t="s">
        <v>306</v>
      </c>
      <c r="H362" s="302"/>
      <c r="I362" s="196"/>
      <c r="J362" s="196"/>
      <c r="K362" s="221">
        <f>SUM(K358:K361)</f>
        <v>0</v>
      </c>
    </row>
    <row r="363" spans="2:11" s="174" customFormat="1" ht="15" customHeight="1">
      <c r="B363" s="438" t="s">
        <v>270</v>
      </c>
      <c r="C363" s="438"/>
      <c r="D363" s="198" t="s">
        <v>221</v>
      </c>
      <c r="E363" s="198" t="s">
        <v>355</v>
      </c>
      <c r="F363" s="198" t="s">
        <v>223</v>
      </c>
      <c r="G363" s="345"/>
      <c r="H363" s="346"/>
      <c r="I363" s="345"/>
      <c r="J363" s="345"/>
      <c r="K363" s="347"/>
    </row>
    <row r="364" spans="2:11" s="174" customFormat="1" ht="25.5" customHeight="1">
      <c r="B364" s="453" t="s">
        <v>391</v>
      </c>
      <c r="C364" s="453"/>
      <c r="D364" s="198" t="s">
        <v>241</v>
      </c>
      <c r="E364" s="186">
        <v>1</v>
      </c>
      <c r="F364" s="328">
        <f>4.3*1.1</f>
        <v>4.7300000000000004</v>
      </c>
      <c r="G364" s="336"/>
      <c r="H364" s="348"/>
      <c r="I364" s="336"/>
      <c r="J364" s="336"/>
      <c r="K364" s="258">
        <f>E364*F364</f>
        <v>4.7300000000000004</v>
      </c>
    </row>
    <row r="365" spans="2:11" s="174" customFormat="1" ht="15" customHeight="1">
      <c r="B365" s="184"/>
      <c r="C365" s="185"/>
      <c r="D365" s="210"/>
      <c r="E365" s="185"/>
      <c r="F365" s="193"/>
      <c r="G365" s="194" t="s">
        <v>310</v>
      </c>
      <c r="H365" s="302"/>
      <c r="I365" s="196"/>
      <c r="J365" s="196"/>
      <c r="K365" s="221">
        <f>SUM(K364)</f>
        <v>4.7300000000000004</v>
      </c>
    </row>
    <row r="366" spans="2:11" s="174" customFormat="1" ht="15" customHeight="1">
      <c r="B366" s="305" t="s">
        <v>311</v>
      </c>
      <c r="C366" s="278"/>
      <c r="D366" s="210"/>
      <c r="E366" s="210"/>
      <c r="F366" s="218"/>
      <c r="G366" s="210"/>
      <c r="H366" s="218"/>
      <c r="I366" s="210"/>
      <c r="J366" s="210"/>
      <c r="K366" s="258">
        <f>SUM(K355,K362,K365)</f>
        <v>4.7300000000000004</v>
      </c>
    </row>
    <row r="367" spans="2:11" s="174" customFormat="1" ht="15" customHeight="1">
      <c r="B367" s="349" t="s">
        <v>234</v>
      </c>
      <c r="C367" s="350"/>
      <c r="D367" s="351">
        <f>'Folha Rosto Comp. P. Unit. '!B5</f>
        <v>0.3</v>
      </c>
      <c r="E367" s="352"/>
      <c r="F367" s="353"/>
      <c r="G367" s="352"/>
      <c r="H367" s="353"/>
      <c r="I367" s="352"/>
      <c r="J367" s="172"/>
      <c r="K367" s="202">
        <f>ROUND(K366*D367,2)</f>
        <v>1.42</v>
      </c>
    </row>
    <row r="368" spans="2:11" s="174" customFormat="1" ht="15" customHeight="1">
      <c r="B368" s="436" t="s">
        <v>235</v>
      </c>
      <c r="C368" s="436"/>
      <c r="D368" s="436"/>
      <c r="E368" s="436"/>
      <c r="F368" s="436"/>
      <c r="G368" s="436"/>
      <c r="H368" s="436"/>
      <c r="I368" s="436"/>
      <c r="J368" s="436"/>
      <c r="K368" s="221">
        <f>SUM(K366:K367)</f>
        <v>6.15</v>
      </c>
    </row>
    <row r="369" spans="2:11" s="174" customFormat="1" ht="15" customHeight="1">
      <c r="B369" s="260"/>
      <c r="C369" s="260"/>
      <c r="D369" s="260"/>
      <c r="E369" s="260"/>
      <c r="F369" s="260"/>
      <c r="G369" s="260"/>
      <c r="H369" s="260"/>
      <c r="I369" s="260"/>
      <c r="J369" s="260"/>
      <c r="K369" s="261"/>
    </row>
    <row r="370" spans="2:11" s="174" customFormat="1" ht="15" customHeight="1">
      <c r="B370" s="206">
        <v>21</v>
      </c>
      <c r="C370" s="181" t="s">
        <v>344</v>
      </c>
      <c r="D370" s="458" t="s">
        <v>392</v>
      </c>
      <c r="E370" s="458"/>
      <c r="F370" s="458"/>
      <c r="G370" s="458"/>
      <c r="H370" s="458"/>
      <c r="I370" s="458"/>
      <c r="J370" s="182" t="s">
        <v>218</v>
      </c>
      <c r="K370" s="242" t="s">
        <v>340</v>
      </c>
    </row>
    <row r="371" spans="2:11" s="174" customFormat="1" ht="15" customHeight="1">
      <c r="B371" s="184"/>
      <c r="C371" s="185"/>
      <c r="D371" s="185"/>
      <c r="E371" s="243"/>
      <c r="F371" s="186" t="s">
        <v>221</v>
      </c>
      <c r="G371" s="186" t="s">
        <v>222</v>
      </c>
      <c r="H371" s="223" t="s">
        <v>223</v>
      </c>
      <c r="I371" s="435" t="s">
        <v>224</v>
      </c>
      <c r="J371" s="435"/>
      <c r="K371" s="435"/>
    </row>
    <row r="372" spans="2:11" s="174" customFormat="1" ht="15" customHeight="1">
      <c r="B372" s="184" t="s">
        <v>245</v>
      </c>
      <c r="C372" s="185"/>
      <c r="D372" s="185"/>
      <c r="E372" s="185"/>
      <c r="F372" s="186" t="s">
        <v>244</v>
      </c>
      <c r="G372" s="213">
        <v>0.15</v>
      </c>
      <c r="H372" s="214">
        <f>'Folha Rosto Comp. P. Unit. '!D8</f>
        <v>1.64</v>
      </c>
      <c r="I372" s="200"/>
      <c r="J372" s="200"/>
      <c r="K372" s="215">
        <f>ROUND(G372*H372,2)</f>
        <v>0.25</v>
      </c>
    </row>
    <row r="373" spans="2:11" s="174" customFormat="1" ht="15" customHeight="1">
      <c r="B373" s="184" t="s">
        <v>373</v>
      </c>
      <c r="C373" s="185"/>
      <c r="D373" s="185"/>
      <c r="E373" s="185"/>
      <c r="F373" s="186" t="s">
        <v>244</v>
      </c>
      <c r="G373" s="213">
        <v>0.15</v>
      </c>
      <c r="H373" s="213">
        <f>'Folha Rosto Comp. P. Unit. '!D7</f>
        <v>2.56</v>
      </c>
      <c r="I373" s="200"/>
      <c r="J373" s="200"/>
      <c r="K373" s="215">
        <f>ROUND(G373*H373,2)</f>
        <v>0.38</v>
      </c>
    </row>
    <row r="374" spans="2:11" s="174" customFormat="1" ht="15" customHeight="1">
      <c r="B374" s="184"/>
      <c r="C374" s="185"/>
      <c r="D374" s="216" t="s">
        <v>246</v>
      </c>
      <c r="E374" s="185"/>
      <c r="F374" s="186"/>
      <c r="G374" s="213"/>
      <c r="H374" s="213"/>
      <c r="I374" s="200"/>
      <c r="J374" s="200"/>
      <c r="K374" s="201">
        <f>SUM(K372:K373)</f>
        <v>0.63</v>
      </c>
    </row>
    <row r="375" spans="2:11" s="174" customFormat="1" ht="15" customHeight="1">
      <c r="B375" s="184" t="s">
        <v>393</v>
      </c>
      <c r="C375" s="185"/>
      <c r="D375" s="185"/>
      <c r="E375" s="185"/>
      <c r="F375" s="186" t="s">
        <v>244</v>
      </c>
      <c r="G375" s="217">
        <f>'Folha Rosto Comp. P. Unit. '!B4</f>
        <v>1.26</v>
      </c>
      <c r="H375" s="186"/>
      <c r="I375" s="185"/>
      <c r="J375" s="185"/>
      <c r="K375" s="201">
        <f>K374*G375</f>
        <v>0.79380000000000006</v>
      </c>
    </row>
    <row r="376" spans="2:11" s="174" customFormat="1" ht="15" customHeight="1">
      <c r="B376" s="209"/>
      <c r="C376" s="210"/>
      <c r="D376" s="210"/>
      <c r="E376" s="210"/>
      <c r="F376" s="210"/>
      <c r="G376" s="194" t="s">
        <v>248</v>
      </c>
      <c r="H376" s="195"/>
      <c r="I376" s="219">
        <f>SUM(I372:I375)</f>
        <v>0</v>
      </c>
      <c r="J376" s="219"/>
      <c r="K376" s="221">
        <f>SUM(K374:K375)</f>
        <v>1.4238</v>
      </c>
    </row>
    <row r="377" spans="2:11" s="174" customFormat="1" ht="15" customHeight="1">
      <c r="B377" s="438" t="s">
        <v>282</v>
      </c>
      <c r="C377" s="438"/>
      <c r="D377" s="438"/>
      <c r="E377" s="438"/>
      <c r="F377" s="222" t="s">
        <v>221</v>
      </c>
      <c r="G377" s="222" t="s">
        <v>394</v>
      </c>
      <c r="H377" s="222" t="s">
        <v>223</v>
      </c>
      <c r="I377" s="435" t="s">
        <v>224</v>
      </c>
      <c r="J377" s="435"/>
      <c r="K377" s="435"/>
    </row>
    <row r="378" spans="2:11" s="174" customFormat="1" ht="15" customHeight="1">
      <c r="B378" s="184" t="s">
        <v>395</v>
      </c>
      <c r="C378" s="185"/>
      <c r="D378" s="185"/>
      <c r="E378" s="243"/>
      <c r="F378" s="222" t="s">
        <v>241</v>
      </c>
      <c r="G378" s="222">
        <f>1*0.1*0.7</f>
        <v>6.9999999999999993E-2</v>
      </c>
      <c r="H378" s="290">
        <f>K603</f>
        <v>274.60480000000001</v>
      </c>
      <c r="I378" s="252"/>
      <c r="J378" s="210"/>
      <c r="K378" s="215">
        <f>ROUND(G378*H378,2)</f>
        <v>19.22</v>
      </c>
    </row>
    <row r="379" spans="2:11" s="174" customFormat="1" ht="15" customHeight="1">
      <c r="B379" s="184" t="s">
        <v>396</v>
      </c>
      <c r="C379" s="185"/>
      <c r="D379" s="210"/>
      <c r="E379" s="210"/>
      <c r="F379" s="198" t="s">
        <v>241</v>
      </c>
      <c r="G379" s="214">
        <v>1</v>
      </c>
      <c r="H379" s="214">
        <f>K635</f>
        <v>26.5596</v>
      </c>
      <c r="I379" s="255"/>
      <c r="J379" s="256"/>
      <c r="K379" s="215">
        <f>ROUND(G379*H379,2)</f>
        <v>26.56</v>
      </c>
    </row>
    <row r="380" spans="2:11" s="174" customFormat="1" ht="15" customHeight="1">
      <c r="B380" s="184"/>
      <c r="C380" s="185"/>
      <c r="D380" s="185"/>
      <c r="E380" s="185"/>
      <c r="F380" s="299"/>
      <c r="G380" s="194" t="s">
        <v>397</v>
      </c>
      <c r="H380" s="195"/>
      <c r="I380" s="383"/>
      <c r="J380" s="219"/>
      <c r="K380" s="221">
        <f>SUM(K378:K379)</f>
        <v>45.78</v>
      </c>
    </row>
    <row r="381" spans="2:11" s="174" customFormat="1" ht="15" customHeight="1">
      <c r="B381" s="209" t="s">
        <v>398</v>
      </c>
      <c r="C381" s="210"/>
      <c r="D381" s="210"/>
      <c r="E381" s="210"/>
      <c r="F381" s="210"/>
      <c r="G381" s="210"/>
      <c r="H381" s="218"/>
      <c r="I381" s="210"/>
      <c r="J381" s="210"/>
      <c r="K381" s="258">
        <f>SUM(K376,K380)</f>
        <v>47.203800000000001</v>
      </c>
    </row>
    <row r="382" spans="2:11" s="174" customFormat="1" ht="15" customHeight="1">
      <c r="B382" s="209" t="s">
        <v>234</v>
      </c>
      <c r="C382" s="210"/>
      <c r="D382" s="203">
        <f>'Folha Rosto Comp. P. Unit. '!B5</f>
        <v>0.3</v>
      </c>
      <c r="E382" s="210"/>
      <c r="F382" s="210"/>
      <c r="G382" s="210"/>
      <c r="H382" s="218"/>
      <c r="I382" s="210"/>
      <c r="J382" s="185"/>
      <c r="K382" s="202">
        <f>K381*D382</f>
        <v>14.16114</v>
      </c>
    </row>
    <row r="383" spans="2:11" s="174" customFormat="1" ht="15" customHeight="1">
      <c r="B383" s="436" t="s">
        <v>235</v>
      </c>
      <c r="C383" s="436"/>
      <c r="D383" s="436"/>
      <c r="E383" s="436"/>
      <c r="F383" s="436"/>
      <c r="G383" s="436"/>
      <c r="H383" s="436"/>
      <c r="I383" s="436"/>
      <c r="J383" s="436"/>
      <c r="K383" s="221">
        <f>SUM(K381:K382)</f>
        <v>61.364940000000004</v>
      </c>
    </row>
    <row r="384" spans="2:11" s="174" customFormat="1" ht="15" customHeight="1">
      <c r="B384" s="285"/>
      <c r="C384" s="285"/>
      <c r="D384" s="285"/>
      <c r="E384" s="285"/>
      <c r="F384" s="285"/>
      <c r="G384" s="285"/>
      <c r="H384" s="260"/>
      <c r="I384" s="286"/>
      <c r="J384" s="286"/>
      <c r="K384" s="287"/>
    </row>
    <row r="385" spans="2:11" s="174" customFormat="1" ht="15" customHeight="1">
      <c r="B385" s="206">
        <v>22</v>
      </c>
      <c r="C385" s="181" t="s">
        <v>344</v>
      </c>
      <c r="D385" s="196" t="s">
        <v>399</v>
      </c>
      <c r="E385" s="196"/>
      <c r="F385" s="196"/>
      <c r="G385" s="196"/>
      <c r="H385" s="195"/>
      <c r="I385" s="207"/>
      <c r="J385" s="182" t="s">
        <v>218</v>
      </c>
      <c r="K385" s="242" t="s">
        <v>340</v>
      </c>
    </row>
    <row r="386" spans="2:11" s="174" customFormat="1" ht="15" customHeight="1">
      <c r="B386" s="268" t="s">
        <v>220</v>
      </c>
      <c r="C386" s="269"/>
      <c r="D386" s="269"/>
      <c r="E386" s="358"/>
      <c r="F386" s="270" t="s">
        <v>221</v>
      </c>
      <c r="G386" s="270" t="s">
        <v>222</v>
      </c>
      <c r="H386" s="270" t="s">
        <v>223</v>
      </c>
      <c r="I386" s="435" t="s">
        <v>224</v>
      </c>
      <c r="J386" s="435"/>
      <c r="K386" s="435"/>
    </row>
    <row r="387" spans="2:11" s="174" customFormat="1" ht="15" customHeight="1">
      <c r="B387" s="184" t="s">
        <v>245</v>
      </c>
      <c r="C387" s="185"/>
      <c r="D387" s="185"/>
      <c r="E387" s="185"/>
      <c r="F387" s="186" t="s">
        <v>244</v>
      </c>
      <c r="G387" s="213">
        <v>0.1</v>
      </c>
      <c r="H387" s="213">
        <f>'Folha Rosto Comp. P. Unit. '!D8</f>
        <v>1.64</v>
      </c>
      <c r="I387" s="200"/>
      <c r="J387" s="200"/>
      <c r="K387" s="201">
        <f>ROUND(G387*H387,2)</f>
        <v>0.16</v>
      </c>
    </row>
    <row r="388" spans="2:11" s="174" customFormat="1" ht="15" customHeight="1">
      <c r="B388" s="184" t="s">
        <v>373</v>
      </c>
      <c r="C388" s="185"/>
      <c r="D388" s="185"/>
      <c r="E388" s="185"/>
      <c r="F388" s="186" t="s">
        <v>244</v>
      </c>
      <c r="G388" s="213">
        <v>0.1</v>
      </c>
      <c r="H388" s="213">
        <f>'Folha Rosto Comp. P. Unit. '!D7</f>
        <v>2.56</v>
      </c>
      <c r="I388" s="200"/>
      <c r="J388" s="200"/>
      <c r="K388" s="201">
        <f>ROUND(G388*H388,2)</f>
        <v>0.26</v>
      </c>
    </row>
    <row r="389" spans="2:11" s="174" customFormat="1" ht="15" customHeight="1">
      <c r="B389" s="184"/>
      <c r="C389" s="185"/>
      <c r="D389" s="216" t="s">
        <v>246</v>
      </c>
      <c r="E389" s="185"/>
      <c r="F389" s="186"/>
      <c r="G389" s="229"/>
      <c r="H389" s="229"/>
      <c r="I389" s="230"/>
      <c r="J389" s="230"/>
      <c r="K389" s="231">
        <f>SUM(K387:K388)</f>
        <v>0.42000000000000004</v>
      </c>
    </row>
    <row r="390" spans="2:11" s="174" customFormat="1" ht="15" customHeight="1">
      <c r="B390" s="184" t="s">
        <v>393</v>
      </c>
      <c r="C390" s="185"/>
      <c r="D390" s="185"/>
      <c r="E390" s="185"/>
      <c r="F390" s="186" t="s">
        <v>244</v>
      </c>
      <c r="G390" s="343">
        <f>'Folha Rosto Comp. P. Unit. '!B4</f>
        <v>1.26</v>
      </c>
      <c r="H390" s="342"/>
      <c r="I390" s="234"/>
      <c r="J390" s="234"/>
      <c r="K390" s="344">
        <f>K389*G390</f>
        <v>0.5292</v>
      </c>
    </row>
    <row r="391" spans="2:11" s="174" customFormat="1" ht="15" customHeight="1">
      <c r="B391" s="184"/>
      <c r="C391" s="185"/>
      <c r="D391" s="185"/>
      <c r="E391" s="185"/>
      <c r="F391" s="185"/>
      <c r="G391" s="194" t="s">
        <v>248</v>
      </c>
      <c r="H391" s="195"/>
      <c r="I391" s="219"/>
      <c r="J391" s="219"/>
      <c r="K391" s="221">
        <f>SUM(K389:K390)</f>
        <v>0.94920000000000004</v>
      </c>
    </row>
    <row r="392" spans="2:11" s="174" customFormat="1" ht="15" customHeight="1">
      <c r="B392" s="438" t="s">
        <v>282</v>
      </c>
      <c r="C392" s="438"/>
      <c r="D392" s="438"/>
      <c r="E392" s="438"/>
      <c r="F392" s="222" t="s">
        <v>221</v>
      </c>
      <c r="G392" s="222" t="s">
        <v>394</v>
      </c>
      <c r="H392" s="222" t="s">
        <v>223</v>
      </c>
      <c r="I392" s="439" t="s">
        <v>224</v>
      </c>
      <c r="J392" s="439"/>
      <c r="K392" s="439"/>
    </row>
    <row r="393" spans="2:11" s="174" customFormat="1" ht="15" customHeight="1">
      <c r="B393" s="184" t="s">
        <v>395</v>
      </c>
      <c r="C393" s="185"/>
      <c r="D393" s="185"/>
      <c r="E393" s="243"/>
      <c r="F393" s="222" t="s">
        <v>316</v>
      </c>
      <c r="G393" s="222">
        <f>0.05+0.3*0.2</f>
        <v>0.11</v>
      </c>
      <c r="H393" s="290">
        <f>K603</f>
        <v>274.60480000000001</v>
      </c>
      <c r="I393" s="252"/>
      <c r="J393" s="210"/>
      <c r="K393" s="215">
        <f>ROUND(G393*H393,2)</f>
        <v>30.21</v>
      </c>
    </row>
    <row r="394" spans="2:11" s="174" customFormat="1" ht="15" customHeight="1">
      <c r="B394" s="184" t="s">
        <v>396</v>
      </c>
      <c r="C394" s="185"/>
      <c r="D394" s="210"/>
      <c r="E394" s="210"/>
      <c r="F394" s="198" t="s">
        <v>241</v>
      </c>
      <c r="G394" s="214">
        <v>1</v>
      </c>
      <c r="H394" s="214">
        <f>K635</f>
        <v>26.5596</v>
      </c>
      <c r="I394" s="255"/>
      <c r="J394" s="256"/>
      <c r="K394" s="215">
        <f>ROUND(G394*H394,2)</f>
        <v>26.56</v>
      </c>
    </row>
    <row r="395" spans="2:11" s="174" customFormat="1" ht="15" customHeight="1">
      <c r="B395" s="184"/>
      <c r="C395" s="185"/>
      <c r="D395" s="185"/>
      <c r="E395" s="185"/>
      <c r="F395" s="299"/>
      <c r="G395" s="194" t="s">
        <v>397</v>
      </c>
      <c r="H395" s="195"/>
      <c r="I395" s="383"/>
      <c r="J395" s="219"/>
      <c r="K395" s="221">
        <f>SUM(K393:K394)</f>
        <v>56.769999999999996</v>
      </c>
    </row>
    <row r="396" spans="2:11" s="174" customFormat="1" ht="15" customHeight="1">
      <c r="B396" s="209" t="s">
        <v>398</v>
      </c>
      <c r="C396" s="210"/>
      <c r="D396" s="210"/>
      <c r="E396" s="210"/>
      <c r="F396" s="210"/>
      <c r="G396" s="210"/>
      <c r="H396" s="218"/>
      <c r="I396" s="210"/>
      <c r="J396" s="210"/>
      <c r="K396" s="258">
        <f>SUM(K391,K395)</f>
        <v>57.719199999999994</v>
      </c>
    </row>
    <row r="397" spans="2:11" s="174" customFormat="1" ht="15" customHeight="1">
      <c r="B397" s="209" t="s">
        <v>234</v>
      </c>
      <c r="C397" s="210"/>
      <c r="D397" s="203">
        <f>'Folha Rosto Comp. P. Unit. '!B5</f>
        <v>0.3</v>
      </c>
      <c r="E397" s="210"/>
      <c r="F397" s="210"/>
      <c r="G397" s="210"/>
      <c r="H397" s="218"/>
      <c r="I397" s="210"/>
      <c r="J397" s="185"/>
      <c r="K397" s="202">
        <f>K396*D397</f>
        <v>17.315759999999997</v>
      </c>
    </row>
    <row r="398" spans="2:11" s="174" customFormat="1" ht="15" customHeight="1">
      <c r="B398" s="436" t="s">
        <v>235</v>
      </c>
      <c r="C398" s="436"/>
      <c r="D398" s="436"/>
      <c r="E398" s="436"/>
      <c r="F398" s="436"/>
      <c r="G398" s="436"/>
      <c r="H398" s="436"/>
      <c r="I398" s="436"/>
      <c r="J398" s="436"/>
      <c r="K398" s="221">
        <f>SUM(K396:K397)</f>
        <v>75.034959999999984</v>
      </c>
    </row>
    <row r="399" spans="2:11" s="174" customFormat="1" ht="15" customHeight="1">
      <c r="B399" s="285"/>
      <c r="C399" s="285"/>
      <c r="D399" s="285"/>
      <c r="E399" s="285"/>
      <c r="F399" s="285"/>
      <c r="G399" s="285"/>
      <c r="H399" s="260"/>
      <c r="I399" s="286"/>
      <c r="J399" s="286"/>
      <c r="K399" s="287"/>
    </row>
    <row r="400" spans="2:11" s="174" customFormat="1" ht="15" customHeight="1">
      <c r="B400" s="206">
        <v>23</v>
      </c>
      <c r="C400" s="181" t="s">
        <v>344</v>
      </c>
      <c r="D400" s="196" t="s">
        <v>400</v>
      </c>
      <c r="E400" s="196"/>
      <c r="F400" s="196"/>
      <c r="G400" s="196"/>
      <c r="H400" s="195"/>
      <c r="I400" s="207"/>
      <c r="J400" s="182" t="s">
        <v>218</v>
      </c>
      <c r="K400" s="242" t="s">
        <v>340</v>
      </c>
    </row>
    <row r="401" spans="2:11" s="174" customFormat="1" ht="15" customHeight="1">
      <c r="B401" s="268" t="s">
        <v>220</v>
      </c>
      <c r="C401" s="269"/>
      <c r="D401" s="269"/>
      <c r="E401" s="358"/>
      <c r="F401" s="270" t="s">
        <v>221</v>
      </c>
      <c r="G401" s="270" t="s">
        <v>222</v>
      </c>
      <c r="H401" s="270" t="s">
        <v>223</v>
      </c>
      <c r="I401" s="435" t="s">
        <v>224</v>
      </c>
      <c r="J401" s="435"/>
      <c r="K401" s="435"/>
    </row>
    <row r="402" spans="2:11" s="174" customFormat="1" ht="15" customHeight="1">
      <c r="B402" s="184" t="s">
        <v>245</v>
      </c>
      <c r="C402" s="185"/>
      <c r="D402" s="185"/>
      <c r="E402" s="185"/>
      <c r="F402" s="186" t="s">
        <v>244</v>
      </c>
      <c r="G402" s="213">
        <v>0.1</v>
      </c>
      <c r="H402" s="213">
        <f>'Folha Rosto Comp. P. Unit. '!D8</f>
        <v>1.64</v>
      </c>
      <c r="I402" s="200"/>
      <c r="J402" s="200"/>
      <c r="K402" s="201">
        <f>ROUND(G402*H402,2)</f>
        <v>0.16</v>
      </c>
    </row>
    <row r="403" spans="2:11" s="174" customFormat="1" ht="15" customHeight="1">
      <c r="B403" s="184" t="s">
        <v>373</v>
      </c>
      <c r="C403" s="185"/>
      <c r="D403" s="185"/>
      <c r="E403" s="185"/>
      <c r="F403" s="186" t="s">
        <v>244</v>
      </c>
      <c r="G403" s="213">
        <v>0.1</v>
      </c>
      <c r="H403" s="213">
        <f>'Folha Rosto Comp. P. Unit. '!D7</f>
        <v>2.56</v>
      </c>
      <c r="I403" s="200"/>
      <c r="J403" s="200"/>
      <c r="K403" s="201">
        <f>ROUND(G403*H403,2)</f>
        <v>0.26</v>
      </c>
    </row>
    <row r="404" spans="2:11" s="174" customFormat="1" ht="15" customHeight="1">
      <c r="B404" s="184"/>
      <c r="C404" s="185"/>
      <c r="D404" s="216" t="s">
        <v>246</v>
      </c>
      <c r="E404" s="185"/>
      <c r="F404" s="186"/>
      <c r="G404" s="229"/>
      <c r="H404" s="229"/>
      <c r="I404" s="230"/>
      <c r="J404" s="230"/>
      <c r="K404" s="231">
        <f>SUM(K402:K403)</f>
        <v>0.42000000000000004</v>
      </c>
    </row>
    <row r="405" spans="2:11" s="174" customFormat="1" ht="15" customHeight="1">
      <c r="B405" s="184" t="s">
        <v>393</v>
      </c>
      <c r="C405" s="185"/>
      <c r="D405" s="185"/>
      <c r="E405" s="185"/>
      <c r="F405" s="186" t="s">
        <v>244</v>
      </c>
      <c r="G405" s="343">
        <f>'Folha Rosto Comp. P. Unit. '!B4</f>
        <v>1.26</v>
      </c>
      <c r="H405" s="342"/>
      <c r="I405" s="234"/>
      <c r="J405" s="234"/>
      <c r="K405" s="344">
        <f>K404*G405</f>
        <v>0.5292</v>
      </c>
    </row>
    <row r="406" spans="2:11" s="174" customFormat="1" ht="15" customHeight="1">
      <c r="B406" s="184"/>
      <c r="C406" s="185"/>
      <c r="D406" s="185"/>
      <c r="E406" s="185"/>
      <c r="F406" s="185"/>
      <c r="G406" s="194" t="s">
        <v>248</v>
      </c>
      <c r="H406" s="195"/>
      <c r="I406" s="219"/>
      <c r="J406" s="219"/>
      <c r="K406" s="221">
        <f>SUM(K404:K405)</f>
        <v>0.94920000000000004</v>
      </c>
    </row>
    <row r="407" spans="2:11" s="174" customFormat="1" ht="15" customHeight="1">
      <c r="B407" s="438" t="s">
        <v>282</v>
      </c>
      <c r="C407" s="438"/>
      <c r="D407" s="438"/>
      <c r="E407" s="438"/>
      <c r="F407" s="222" t="s">
        <v>221</v>
      </c>
      <c r="G407" s="222" t="s">
        <v>394</v>
      </c>
      <c r="H407" s="222" t="s">
        <v>223</v>
      </c>
      <c r="I407" s="439" t="s">
        <v>224</v>
      </c>
      <c r="J407" s="439"/>
      <c r="K407" s="439"/>
    </row>
    <row r="408" spans="2:11" s="174" customFormat="1" ht="15" customHeight="1">
      <c r="B408" s="184" t="s">
        <v>395</v>
      </c>
      <c r="C408" s="185"/>
      <c r="D408" s="185"/>
      <c r="E408" s="243"/>
      <c r="F408" s="222" t="s">
        <v>241</v>
      </c>
      <c r="G408" s="222">
        <f>0.05+1*0.3*0.1</f>
        <v>0.08</v>
      </c>
      <c r="H408" s="290">
        <f>K603</f>
        <v>274.60480000000001</v>
      </c>
      <c r="I408" s="252"/>
      <c r="J408" s="210"/>
      <c r="K408" s="215">
        <f>ROUND(G408*H408,2)</f>
        <v>21.97</v>
      </c>
    </row>
    <row r="409" spans="2:11" s="174" customFormat="1" ht="15" customHeight="1">
      <c r="B409" s="184" t="s">
        <v>396</v>
      </c>
      <c r="C409" s="185"/>
      <c r="D409" s="210"/>
      <c r="E409" s="210"/>
      <c r="F409" s="198" t="s">
        <v>241</v>
      </c>
      <c r="G409" s="214">
        <v>1</v>
      </c>
      <c r="H409" s="214">
        <f>K635</f>
        <v>26.5596</v>
      </c>
      <c r="I409" s="255"/>
      <c r="J409" s="256"/>
      <c r="K409" s="215">
        <f>ROUND(G409*H409,2)</f>
        <v>26.56</v>
      </c>
    </row>
    <row r="410" spans="2:11" s="174" customFormat="1" ht="15" customHeight="1">
      <c r="B410" s="184"/>
      <c r="C410" s="185"/>
      <c r="D410" s="185"/>
      <c r="E410" s="185"/>
      <c r="F410" s="299"/>
      <c r="G410" s="194" t="s">
        <v>397</v>
      </c>
      <c r="H410" s="195"/>
      <c r="I410" s="383"/>
      <c r="J410" s="219"/>
      <c r="K410" s="221">
        <f>SUM(K408:K409)</f>
        <v>48.53</v>
      </c>
    </row>
    <row r="411" spans="2:11" s="174" customFormat="1" ht="15" customHeight="1">
      <c r="B411" s="209" t="s">
        <v>398</v>
      </c>
      <c r="C411" s="210"/>
      <c r="D411" s="210"/>
      <c r="E411" s="210"/>
      <c r="F411" s="210"/>
      <c r="G411" s="210"/>
      <c r="H411" s="218"/>
      <c r="I411" s="210"/>
      <c r="J411" s="210"/>
      <c r="K411" s="258">
        <f>SUM(K406,K410)</f>
        <v>49.479199999999999</v>
      </c>
    </row>
    <row r="412" spans="2:11" s="174" customFormat="1" ht="15" customHeight="1">
      <c r="B412" s="209" t="s">
        <v>234</v>
      </c>
      <c r="C412" s="210"/>
      <c r="D412" s="203">
        <f>'Folha Rosto Comp. P. Unit. '!B5</f>
        <v>0.3</v>
      </c>
      <c r="E412" s="210"/>
      <c r="F412" s="210"/>
      <c r="G412" s="210"/>
      <c r="H412" s="218"/>
      <c r="I412" s="210"/>
      <c r="J412" s="185"/>
      <c r="K412" s="202">
        <f>K411*D412</f>
        <v>14.84376</v>
      </c>
    </row>
    <row r="413" spans="2:11" s="174" customFormat="1" ht="15" customHeight="1">
      <c r="B413" s="436" t="s">
        <v>235</v>
      </c>
      <c r="C413" s="436"/>
      <c r="D413" s="436"/>
      <c r="E413" s="436"/>
      <c r="F413" s="436"/>
      <c r="G413" s="436"/>
      <c r="H413" s="436"/>
      <c r="I413" s="436"/>
      <c r="J413" s="436"/>
      <c r="K413" s="221">
        <f>SUM(K411:K412)</f>
        <v>64.322959999999995</v>
      </c>
    </row>
    <row r="414" spans="2:11" s="174" customFormat="1" ht="15" customHeight="1">
      <c r="B414" s="285"/>
      <c r="C414" s="285"/>
      <c r="D414" s="285"/>
      <c r="E414" s="285"/>
      <c r="F414" s="285"/>
      <c r="G414" s="285"/>
      <c r="H414" s="260"/>
      <c r="I414" s="286"/>
      <c r="J414" s="286"/>
      <c r="K414" s="261"/>
    </row>
    <row r="415" spans="2:11" s="174" customFormat="1" ht="15" customHeight="1">
      <c r="B415" s="206">
        <v>24</v>
      </c>
      <c r="C415" s="195" t="s">
        <v>401</v>
      </c>
      <c r="D415" s="196" t="s">
        <v>402</v>
      </c>
      <c r="E415" s="196"/>
      <c r="F415" s="196"/>
      <c r="G415" s="196"/>
      <c r="H415" s="195"/>
      <c r="I415" s="207"/>
      <c r="J415" s="182" t="s">
        <v>218</v>
      </c>
      <c r="K415" s="242" t="s">
        <v>241</v>
      </c>
    </row>
    <row r="416" spans="2:11" s="174" customFormat="1" ht="15" customHeight="1">
      <c r="B416" s="184" t="s">
        <v>220</v>
      </c>
      <c r="C416" s="185"/>
      <c r="D416" s="185"/>
      <c r="E416" s="243"/>
      <c r="F416" s="186" t="s">
        <v>221</v>
      </c>
      <c r="G416" s="186" t="s">
        <v>222</v>
      </c>
      <c r="H416" s="186" t="s">
        <v>223</v>
      </c>
      <c r="I416" s="434" t="s">
        <v>224</v>
      </c>
      <c r="J416" s="434"/>
      <c r="K416" s="434"/>
    </row>
    <row r="417" spans="2:11" s="174" customFormat="1" ht="15" customHeight="1">
      <c r="B417" s="184" t="s">
        <v>269</v>
      </c>
      <c r="C417" s="185"/>
      <c r="D417" s="185"/>
      <c r="E417" s="185"/>
      <c r="F417" s="186" t="s">
        <v>244</v>
      </c>
      <c r="G417" s="213">
        <v>0.2</v>
      </c>
      <c r="H417" s="214">
        <f>'Folha Rosto Comp. P. Unit. '!D7</f>
        <v>2.56</v>
      </c>
      <c r="I417" s="200"/>
      <c r="J417" s="200"/>
      <c r="K417" s="215">
        <f>G417*H417</f>
        <v>0.51200000000000001</v>
      </c>
    </row>
    <row r="418" spans="2:11" s="174" customFormat="1" ht="15" customHeight="1">
      <c r="B418" s="184" t="s">
        <v>300</v>
      </c>
      <c r="C418" s="185"/>
      <c r="D418" s="185"/>
      <c r="E418" s="185"/>
      <c r="F418" s="186" t="s">
        <v>244</v>
      </c>
      <c r="G418" s="213">
        <v>0.2</v>
      </c>
      <c r="H418" s="214">
        <f>'Folha Rosto Comp. P. Unit. '!D8</f>
        <v>1.64</v>
      </c>
      <c r="I418" s="200"/>
      <c r="J418" s="200"/>
      <c r="K418" s="215">
        <f>G418*H418</f>
        <v>0.32800000000000001</v>
      </c>
    </row>
    <row r="419" spans="2:11" s="174" customFormat="1" ht="15" customHeight="1">
      <c r="B419" s="184"/>
      <c r="C419" s="185"/>
      <c r="D419" s="216" t="s">
        <v>246</v>
      </c>
      <c r="E419" s="185"/>
      <c r="F419" s="186"/>
      <c r="G419" s="213"/>
      <c r="H419" s="213"/>
      <c r="I419" s="200"/>
      <c r="J419" s="200"/>
      <c r="K419" s="201">
        <f>SUM(K417:K418)</f>
        <v>0.84000000000000008</v>
      </c>
    </row>
    <row r="420" spans="2:11" s="174" customFormat="1" ht="15" customHeight="1">
      <c r="B420" s="184" t="s">
        <v>393</v>
      </c>
      <c r="C420" s="185"/>
      <c r="D420" s="185"/>
      <c r="E420" s="185"/>
      <c r="F420" s="299"/>
      <c r="G420" s="192">
        <f>'[2]Folha Rosto Comp. P. Unit. '!$B$4</f>
        <v>1.26</v>
      </c>
      <c r="H420" s="186"/>
      <c r="I420" s="185"/>
      <c r="J420" s="185"/>
      <c r="K420" s="201">
        <f>K419*G420</f>
        <v>1.0584</v>
      </c>
    </row>
    <row r="421" spans="2:11" s="174" customFormat="1" ht="15" customHeight="1">
      <c r="B421" s="209"/>
      <c r="C421" s="210"/>
      <c r="D421" s="210"/>
      <c r="E421" s="210"/>
      <c r="F421" s="210"/>
      <c r="G421" s="194" t="s">
        <v>248</v>
      </c>
      <c r="H421" s="195"/>
      <c r="I421" s="383"/>
      <c r="J421" s="219"/>
      <c r="K421" s="384">
        <f>SUM(K419:K420)</f>
        <v>1.8984000000000001</v>
      </c>
    </row>
    <row r="422" spans="2:11" s="174" customFormat="1" ht="15" customHeight="1">
      <c r="B422" s="448" t="s">
        <v>282</v>
      </c>
      <c r="C422" s="448"/>
      <c r="D422" s="448"/>
      <c r="E422" s="448"/>
      <c r="F422" s="186" t="s">
        <v>221</v>
      </c>
      <c r="G422" s="222" t="s">
        <v>249</v>
      </c>
      <c r="H422" s="270" t="s">
        <v>223</v>
      </c>
      <c r="I422" s="439" t="s">
        <v>224</v>
      </c>
      <c r="J422" s="439"/>
      <c r="K422" s="439"/>
    </row>
    <row r="423" spans="2:11" s="174" customFormat="1" ht="15" customHeight="1">
      <c r="B423" s="209" t="s">
        <v>403</v>
      </c>
      <c r="C423" s="210"/>
      <c r="D423" s="210"/>
      <c r="E423" s="211"/>
      <c r="F423" s="198" t="s">
        <v>404</v>
      </c>
      <c r="G423" s="214">
        <f>1/40</f>
        <v>2.5000000000000001E-2</v>
      </c>
      <c r="H423" s="385">
        <v>1</v>
      </c>
      <c r="I423" s="255"/>
      <c r="J423" s="256"/>
      <c r="K423" s="386">
        <f>ROUND(G423*H423,2)</f>
        <v>0.03</v>
      </c>
    </row>
    <row r="424" spans="2:11" s="174" customFormat="1" ht="15" customHeight="1">
      <c r="B424" s="184" t="s">
        <v>405</v>
      </c>
      <c r="C424" s="185"/>
      <c r="D424" s="185"/>
      <c r="E424" s="243"/>
      <c r="F424" s="223" t="s">
        <v>406</v>
      </c>
      <c r="G424" s="326">
        <v>1</v>
      </c>
      <c r="H424" s="325">
        <v>1</v>
      </c>
      <c r="I424" s="199"/>
      <c r="J424" s="200"/>
      <c r="K424" s="387">
        <f>ROUND(G424*H424,2)</f>
        <v>1</v>
      </c>
    </row>
    <row r="425" spans="2:11" s="174" customFormat="1" ht="15" customHeight="1">
      <c r="B425" s="184"/>
      <c r="C425" s="185"/>
      <c r="D425" s="185"/>
      <c r="E425" s="243"/>
      <c r="F425" s="186"/>
      <c r="G425" s="213"/>
      <c r="H425" s="325"/>
      <c r="I425" s="199"/>
      <c r="J425" s="200"/>
      <c r="K425" s="387"/>
    </row>
    <row r="426" spans="2:11" s="174" customFormat="1" ht="15" customHeight="1">
      <c r="B426" s="184"/>
      <c r="C426" s="185"/>
      <c r="D426" s="185"/>
      <c r="E426" s="243"/>
      <c r="F426" s="186"/>
      <c r="G426" s="213"/>
      <c r="H426" s="325"/>
      <c r="I426" s="199"/>
      <c r="J426" s="200"/>
      <c r="K426" s="387"/>
    </row>
    <row r="427" spans="2:11" s="174" customFormat="1" ht="15" customHeight="1">
      <c r="B427" s="209"/>
      <c r="C427" s="210"/>
      <c r="D427" s="210"/>
      <c r="E427" s="210"/>
      <c r="F427" s="380"/>
      <c r="G427" s="194" t="s">
        <v>232</v>
      </c>
      <c r="H427" s="195"/>
      <c r="I427" s="388"/>
      <c r="J427" s="389"/>
      <c r="K427" s="384">
        <f>SUM(K423:K426)</f>
        <v>1.03</v>
      </c>
    </row>
    <row r="428" spans="2:11" s="174" customFormat="1" ht="15" customHeight="1">
      <c r="B428" s="184" t="s">
        <v>407</v>
      </c>
      <c r="C428" s="185"/>
      <c r="D428" s="185"/>
      <c r="E428" s="185"/>
      <c r="F428" s="185"/>
      <c r="G428" s="185"/>
      <c r="H428" s="193"/>
      <c r="I428" s="185"/>
      <c r="J428" s="185"/>
      <c r="K428" s="390">
        <f>SUM(K421+K427)</f>
        <v>2.9283999999999999</v>
      </c>
    </row>
    <row r="429" spans="2:11" s="174" customFormat="1" ht="15" customHeight="1">
      <c r="B429" s="209" t="s">
        <v>234</v>
      </c>
      <c r="C429" s="210"/>
      <c r="D429" s="203">
        <f>'[2]Folha Rosto Comp. P. Unit. '!$B$5</f>
        <v>0.3</v>
      </c>
      <c r="E429" s="210"/>
      <c r="F429" s="210"/>
      <c r="G429" s="210"/>
      <c r="H429" s="218"/>
      <c r="I429" s="210"/>
      <c r="J429" s="185"/>
      <c r="K429" s="390">
        <f>ROUND(K428*D429,2)</f>
        <v>0.88</v>
      </c>
    </row>
    <row r="430" spans="2:11" s="174" customFormat="1" ht="15" customHeight="1">
      <c r="B430" s="436" t="s">
        <v>235</v>
      </c>
      <c r="C430" s="436"/>
      <c r="D430" s="436"/>
      <c r="E430" s="436"/>
      <c r="F430" s="436"/>
      <c r="G430" s="436"/>
      <c r="H430" s="436"/>
      <c r="I430" s="436"/>
      <c r="J430" s="436"/>
      <c r="K430" s="384">
        <f>SUM(K428:K429)</f>
        <v>3.8083999999999998</v>
      </c>
    </row>
    <row r="431" spans="2:11" s="174" customFormat="1" ht="15" customHeight="1">
      <c r="B431" s="260"/>
      <c r="C431" s="260"/>
      <c r="D431" s="260"/>
      <c r="E431" s="260"/>
      <c r="F431" s="260"/>
      <c r="G431" s="260"/>
      <c r="H431" s="260"/>
      <c r="I431" s="260"/>
      <c r="J431" s="260"/>
      <c r="K431" s="261"/>
    </row>
    <row r="432" spans="2:11" s="174" customFormat="1" ht="42" customHeight="1">
      <c r="B432" s="206">
        <v>25</v>
      </c>
      <c r="C432" s="295" t="s">
        <v>216</v>
      </c>
      <c r="D432" s="458" t="s">
        <v>408</v>
      </c>
      <c r="E432" s="458"/>
      <c r="F432" s="458"/>
      <c r="G432" s="458"/>
      <c r="H432" s="458"/>
      <c r="I432" s="458"/>
      <c r="J432" s="182" t="s">
        <v>218</v>
      </c>
      <c r="K432" s="242" t="s">
        <v>219</v>
      </c>
    </row>
    <row r="433" spans="2:11" s="174" customFormat="1" ht="15" customHeight="1">
      <c r="B433" s="391" t="s">
        <v>220</v>
      </c>
      <c r="C433" s="392"/>
      <c r="D433" s="393"/>
      <c r="E433" s="265"/>
      <c r="F433" s="266" t="s">
        <v>221</v>
      </c>
      <c r="G433" s="266" t="s">
        <v>222</v>
      </c>
      <c r="H433" s="266" t="s">
        <v>281</v>
      </c>
      <c r="I433" s="457" t="s">
        <v>224</v>
      </c>
      <c r="J433" s="457"/>
      <c r="K433" s="457"/>
    </row>
    <row r="434" spans="2:11" s="174" customFormat="1" ht="15" customHeight="1">
      <c r="B434" s="268" t="s">
        <v>373</v>
      </c>
      <c r="C434" s="269"/>
      <c r="D434" s="269"/>
      <c r="E434" s="358"/>
      <c r="F434" s="270" t="s">
        <v>244</v>
      </c>
      <c r="G434" s="271">
        <f>2*0.4</f>
        <v>0.8</v>
      </c>
      <c r="H434" s="271">
        <f>'Folha Rosto Comp. P. Unit. '!D7</f>
        <v>2.56</v>
      </c>
      <c r="I434" s="359"/>
      <c r="J434" s="360"/>
      <c r="K434" s="361">
        <f>ROUND(G434*H434,2)</f>
        <v>2.0499999999999998</v>
      </c>
    </row>
    <row r="435" spans="2:11" s="174" customFormat="1" ht="15" customHeight="1">
      <c r="B435" s="209" t="s">
        <v>245</v>
      </c>
      <c r="C435" s="210"/>
      <c r="D435" s="210"/>
      <c r="E435" s="211"/>
      <c r="F435" s="198" t="s">
        <v>244</v>
      </c>
      <c r="G435" s="214">
        <f>4*0.4</f>
        <v>1.6</v>
      </c>
      <c r="H435" s="214">
        <f>'Folha Rosto Comp. P. Unit. '!D8</f>
        <v>1.64</v>
      </c>
      <c r="I435" s="255"/>
      <c r="J435" s="256"/>
      <c r="K435" s="215">
        <f>ROUND(G435*H435,2)</f>
        <v>2.62</v>
      </c>
    </row>
    <row r="436" spans="2:11" s="174" customFormat="1" ht="15" customHeight="1">
      <c r="B436" s="184"/>
      <c r="C436" s="185"/>
      <c r="D436" s="216" t="s">
        <v>246</v>
      </c>
      <c r="E436" s="243"/>
      <c r="F436" s="186"/>
      <c r="G436" s="229"/>
      <c r="H436" s="229"/>
      <c r="I436" s="280"/>
      <c r="J436" s="230"/>
      <c r="K436" s="231">
        <f>SUM(K434:K435)</f>
        <v>4.67</v>
      </c>
    </row>
    <row r="437" spans="2:11" s="174" customFormat="1" ht="15" customHeight="1">
      <c r="B437" s="184" t="s">
        <v>354</v>
      </c>
      <c r="C437" s="185"/>
      <c r="D437" s="185"/>
      <c r="E437" s="243"/>
      <c r="F437" s="186"/>
      <c r="G437" s="343">
        <f>'Folha Rosto Comp. P. Unit. '!B4</f>
        <v>1.26</v>
      </c>
      <c r="H437" s="342"/>
      <c r="I437" s="341"/>
      <c r="J437" s="234"/>
      <c r="K437" s="344">
        <f>K436*G437</f>
        <v>5.8841999999999999</v>
      </c>
    </row>
    <row r="438" spans="2:11" s="174" customFormat="1" ht="15" customHeight="1">
      <c r="B438" s="184"/>
      <c r="C438" s="185"/>
      <c r="D438" s="185"/>
      <c r="E438" s="185"/>
      <c r="F438" s="193"/>
      <c r="G438" s="248" t="s">
        <v>248</v>
      </c>
      <c r="H438" s="249"/>
      <c r="I438" s="394"/>
      <c r="J438" s="394"/>
      <c r="K438" s="251">
        <f>SUM(K436:K437)</f>
        <v>10.5542</v>
      </c>
    </row>
    <row r="439" spans="2:11" s="174" customFormat="1" ht="15" customHeight="1">
      <c r="B439" s="438" t="s">
        <v>282</v>
      </c>
      <c r="C439" s="438"/>
      <c r="D439" s="438"/>
      <c r="E439" s="438"/>
      <c r="F439" s="198" t="s">
        <v>221</v>
      </c>
      <c r="G439" s="198" t="s">
        <v>301</v>
      </c>
      <c r="H439" s="198" t="s">
        <v>223</v>
      </c>
      <c r="I439" s="439" t="s">
        <v>224</v>
      </c>
      <c r="J439" s="439"/>
      <c r="K439" s="439"/>
    </row>
    <row r="440" spans="2:11" s="174" customFormat="1" ht="15" customHeight="1">
      <c r="B440" s="184" t="s">
        <v>409</v>
      </c>
      <c r="C440" s="185"/>
      <c r="D440" s="185"/>
      <c r="E440" s="243"/>
      <c r="F440" s="186" t="s">
        <v>241</v>
      </c>
      <c r="G440" s="213">
        <v>0.6</v>
      </c>
      <c r="H440" s="213">
        <v>120</v>
      </c>
      <c r="I440" s="199"/>
      <c r="J440" s="200"/>
      <c r="K440" s="215">
        <f>ROUND(G440*H440,2)</f>
        <v>72</v>
      </c>
    </row>
    <row r="441" spans="2:11" s="174" customFormat="1" ht="15" customHeight="1">
      <c r="B441" s="184" t="s">
        <v>410</v>
      </c>
      <c r="C441" s="185"/>
      <c r="D441" s="185"/>
      <c r="E441" s="243"/>
      <c r="F441" s="186" t="s">
        <v>316</v>
      </c>
      <c r="G441" s="213">
        <v>3.2</v>
      </c>
      <c r="H441" s="213">
        <f>K709</f>
        <v>22.566800000000001</v>
      </c>
      <c r="I441" s="199"/>
      <c r="J441" s="200"/>
      <c r="K441" s="215">
        <f>ROUND(G441*H441,2)</f>
        <v>72.209999999999994</v>
      </c>
    </row>
    <row r="442" spans="2:11" s="174" customFormat="1" ht="15" customHeight="1">
      <c r="B442" s="184" t="s">
        <v>411</v>
      </c>
      <c r="C442" s="185"/>
      <c r="D442" s="185"/>
      <c r="E442" s="243"/>
      <c r="F442" s="186" t="s">
        <v>316</v>
      </c>
      <c r="G442" s="188">
        <f>0.28*0.5</f>
        <v>0.14000000000000001</v>
      </c>
      <c r="H442" s="213">
        <f>K619</f>
        <v>305.01480000000004</v>
      </c>
      <c r="I442" s="200"/>
      <c r="J442" s="200"/>
      <c r="K442" s="215">
        <f>ROUND(G442*H442,2)</f>
        <v>42.7</v>
      </c>
    </row>
    <row r="443" spans="2:11" s="174" customFormat="1" ht="15" customHeight="1">
      <c r="B443" s="184"/>
      <c r="C443" s="185"/>
      <c r="D443" s="185"/>
      <c r="E443" s="243"/>
      <c r="F443" s="186"/>
      <c r="G443" s="194" t="s">
        <v>306</v>
      </c>
      <c r="H443" s="302"/>
      <c r="I443" s="196"/>
      <c r="J443" s="196"/>
      <c r="K443" s="221">
        <f>SUM(K440:K442)</f>
        <v>186.90999999999997</v>
      </c>
    </row>
    <row r="444" spans="2:11" s="174" customFormat="1" ht="15" customHeight="1">
      <c r="B444" s="305" t="s">
        <v>311</v>
      </c>
      <c r="C444" s="278"/>
      <c r="D444" s="210"/>
      <c r="E444" s="210"/>
      <c r="F444" s="218"/>
      <c r="G444" s="210"/>
      <c r="H444" s="218"/>
      <c r="I444" s="210"/>
      <c r="J444" s="210"/>
      <c r="K444" s="258">
        <f>SUM(K438+K443)</f>
        <v>197.46419999999998</v>
      </c>
    </row>
    <row r="445" spans="2:11" s="174" customFormat="1" ht="15" customHeight="1">
      <c r="B445" s="369" t="s">
        <v>234</v>
      </c>
      <c r="C445" s="370"/>
      <c r="D445" s="351">
        <f>'Folha Rosto Comp. P. Unit. '!B5</f>
        <v>0.3</v>
      </c>
      <c r="E445" s="172"/>
      <c r="F445" s="323"/>
      <c r="G445" s="172"/>
      <c r="H445" s="323"/>
      <c r="I445" s="172"/>
      <c r="J445" s="172"/>
      <c r="K445" s="202">
        <f>ROUND(K444*D445,2)</f>
        <v>59.24</v>
      </c>
    </row>
    <row r="446" spans="2:11" s="174" customFormat="1" ht="15" customHeight="1">
      <c r="B446" s="436" t="s">
        <v>235</v>
      </c>
      <c r="C446" s="436"/>
      <c r="D446" s="436"/>
      <c r="E446" s="436"/>
      <c r="F446" s="436"/>
      <c r="G446" s="436"/>
      <c r="H446" s="436"/>
      <c r="I446" s="436"/>
      <c r="J446" s="436"/>
      <c r="K446" s="221">
        <f>SUM(K444:K445)</f>
        <v>256.70419999999996</v>
      </c>
    </row>
    <row r="447" spans="2:11" s="174" customFormat="1" ht="15" customHeight="1">
      <c r="B447" s="260"/>
      <c r="C447" s="260"/>
      <c r="D447" s="260"/>
      <c r="E447" s="260"/>
      <c r="F447" s="260"/>
      <c r="G447" s="260"/>
      <c r="H447" s="260"/>
      <c r="I447" s="260"/>
      <c r="J447" s="260"/>
      <c r="K447" s="261"/>
    </row>
    <row r="448" spans="2:11" s="174" customFormat="1" ht="35.25" customHeight="1">
      <c r="B448" s="206">
        <v>26</v>
      </c>
      <c r="C448" s="195" t="s">
        <v>401</v>
      </c>
      <c r="D448" s="458" t="s">
        <v>412</v>
      </c>
      <c r="E448" s="458"/>
      <c r="F448" s="458"/>
      <c r="G448" s="458"/>
      <c r="H448" s="458"/>
      <c r="I448" s="458"/>
      <c r="J448" s="182" t="s">
        <v>218</v>
      </c>
      <c r="K448" s="242" t="s">
        <v>241</v>
      </c>
    </row>
    <row r="449" spans="2:11" s="174" customFormat="1" ht="15" customHeight="1">
      <c r="B449" s="184" t="s">
        <v>220</v>
      </c>
      <c r="C449" s="185"/>
      <c r="D449" s="185"/>
      <c r="E449" s="243"/>
      <c r="F449" s="186" t="s">
        <v>221</v>
      </c>
      <c r="G449" s="186" t="s">
        <v>222</v>
      </c>
      <c r="H449" s="186" t="s">
        <v>223</v>
      </c>
      <c r="I449" s="434" t="s">
        <v>224</v>
      </c>
      <c r="J449" s="434"/>
      <c r="K449" s="434"/>
    </row>
    <row r="450" spans="2:11" s="174" customFormat="1" ht="15" customHeight="1">
      <c r="B450" s="184" t="s">
        <v>373</v>
      </c>
      <c r="C450" s="185"/>
      <c r="D450" s="185"/>
      <c r="E450" s="185"/>
      <c r="F450" s="186" t="s">
        <v>244</v>
      </c>
      <c r="G450" s="213">
        <v>0.8</v>
      </c>
      <c r="H450" s="213">
        <f>'Folha Rosto Comp. P. Unit. '!D7</f>
        <v>2.56</v>
      </c>
      <c r="I450" s="200"/>
      <c r="J450" s="200"/>
      <c r="K450" s="201">
        <f>ROUND(G450*H450,2)</f>
        <v>2.0499999999999998</v>
      </c>
    </row>
    <row r="451" spans="2:11" s="174" customFormat="1" ht="15" customHeight="1">
      <c r="B451" s="184" t="s">
        <v>245</v>
      </c>
      <c r="C451" s="185"/>
      <c r="D451" s="185"/>
      <c r="E451" s="185"/>
      <c r="F451" s="186" t="s">
        <v>244</v>
      </c>
      <c r="G451" s="213">
        <v>0.85</v>
      </c>
      <c r="H451" s="214">
        <f>'Folha Rosto Comp. P. Unit. '!D8</f>
        <v>1.64</v>
      </c>
      <c r="I451" s="200"/>
      <c r="J451" s="200"/>
      <c r="K451" s="215">
        <f>ROUND(G451*H451,2)</f>
        <v>1.39</v>
      </c>
    </row>
    <row r="452" spans="2:11" s="174" customFormat="1" ht="15" customHeight="1">
      <c r="B452" s="184"/>
      <c r="C452" s="185"/>
      <c r="D452" s="216" t="s">
        <v>246</v>
      </c>
      <c r="E452" s="185"/>
      <c r="F452" s="186"/>
      <c r="G452" s="213"/>
      <c r="H452" s="213"/>
      <c r="I452" s="200"/>
      <c r="J452" s="200"/>
      <c r="K452" s="201">
        <f>SUM(K450:K451)</f>
        <v>3.4399999999999995</v>
      </c>
    </row>
    <row r="453" spans="2:11" s="174" customFormat="1" ht="15" customHeight="1">
      <c r="B453" s="184" t="s">
        <v>393</v>
      </c>
      <c r="C453" s="185"/>
      <c r="D453" s="185"/>
      <c r="E453" s="185"/>
      <c r="F453" s="299"/>
      <c r="G453" s="217">
        <f>'Folha Rosto Comp. P. Unit. '!B4</f>
        <v>1.26</v>
      </c>
      <c r="H453" s="186"/>
      <c r="I453" s="185"/>
      <c r="J453" s="185"/>
      <c r="K453" s="201">
        <f>K452*G453</f>
        <v>4.3343999999999996</v>
      </c>
    </row>
    <row r="454" spans="2:11" s="174" customFormat="1" ht="15" customHeight="1">
      <c r="B454" s="209"/>
      <c r="C454" s="210"/>
      <c r="D454" s="210"/>
      <c r="E454" s="210"/>
      <c r="F454" s="210"/>
      <c r="G454" s="194" t="s">
        <v>248</v>
      </c>
      <c r="H454" s="195"/>
      <c r="I454" s="383"/>
      <c r="J454" s="219"/>
      <c r="K454" s="384">
        <f>SUM(K452:K453)</f>
        <v>7.7743999999999991</v>
      </c>
    </row>
    <row r="455" spans="2:11" s="174" customFormat="1" ht="15" customHeight="1">
      <c r="B455" s="438" t="s">
        <v>282</v>
      </c>
      <c r="C455" s="438"/>
      <c r="D455" s="438"/>
      <c r="E455" s="438"/>
      <c r="F455" s="198" t="s">
        <v>221</v>
      </c>
      <c r="G455" s="395" t="s">
        <v>249</v>
      </c>
      <c r="H455" s="270" t="s">
        <v>223</v>
      </c>
      <c r="I455" s="439" t="s">
        <v>224</v>
      </c>
      <c r="J455" s="439"/>
      <c r="K455" s="439"/>
    </row>
    <row r="456" spans="2:11" s="174" customFormat="1" ht="15" customHeight="1">
      <c r="B456" s="184" t="s">
        <v>413</v>
      </c>
      <c r="C456" s="185"/>
      <c r="D456" s="185"/>
      <c r="E456" s="211"/>
      <c r="F456" s="222" t="s">
        <v>241</v>
      </c>
      <c r="G456" s="214">
        <v>0.05</v>
      </c>
      <c r="H456" s="325">
        <f>K619</f>
        <v>305.01480000000004</v>
      </c>
      <c r="I456" s="199"/>
      <c r="J456" s="200"/>
      <c r="K456" s="386">
        <f>ROUND(G456*H456,2)</f>
        <v>15.25</v>
      </c>
    </row>
    <row r="457" spans="2:11" s="174" customFormat="1" ht="15" customHeight="1">
      <c r="B457" s="184" t="s">
        <v>414</v>
      </c>
      <c r="C457" s="185"/>
      <c r="D457" s="210"/>
      <c r="E457" s="211"/>
      <c r="F457" s="222" t="s">
        <v>340</v>
      </c>
      <c r="G457" s="214">
        <v>2.1</v>
      </c>
      <c r="H457" s="385">
        <v>2.0499999999999998</v>
      </c>
      <c r="I457" s="255"/>
      <c r="J457" s="256"/>
      <c r="K457" s="386">
        <f>ROUND(G457*H457,2)</f>
        <v>4.3099999999999996</v>
      </c>
    </row>
    <row r="458" spans="2:11" s="174" customFormat="1" ht="15" customHeight="1">
      <c r="B458" s="209" t="s">
        <v>231</v>
      </c>
      <c r="C458" s="210"/>
      <c r="D458" s="210"/>
      <c r="E458" s="210"/>
      <c r="F458" s="210"/>
      <c r="G458" s="194" t="s">
        <v>232</v>
      </c>
      <c r="H458" s="195"/>
      <c r="I458" s="388"/>
      <c r="J458" s="389"/>
      <c r="K458" s="384">
        <f>SUM(K456:K457)</f>
        <v>19.559999999999999</v>
      </c>
    </row>
    <row r="459" spans="2:11" s="174" customFormat="1" ht="15" customHeight="1">
      <c r="B459" s="209" t="s">
        <v>407</v>
      </c>
      <c r="C459" s="210"/>
      <c r="D459" s="210"/>
      <c r="E459" s="210"/>
      <c r="F459" s="210"/>
      <c r="G459" s="210"/>
      <c r="H459" s="218"/>
      <c r="I459" s="210"/>
      <c r="J459" s="210"/>
      <c r="K459" s="396">
        <f>SUM(K454+K458)</f>
        <v>27.334399999999999</v>
      </c>
    </row>
    <row r="460" spans="2:11" s="174" customFormat="1" ht="15" customHeight="1">
      <c r="B460" s="233" t="s">
        <v>234</v>
      </c>
      <c r="C460" s="234"/>
      <c r="D460" s="330">
        <f>'Folha Rosto Comp. P. Unit. '!B5</f>
        <v>0.3</v>
      </c>
      <c r="E460" s="234"/>
      <c r="F460" s="234"/>
      <c r="G460" s="234"/>
      <c r="H460" s="235"/>
      <c r="I460" s="234"/>
      <c r="J460" s="234"/>
      <c r="K460" s="397">
        <f>ROUND(K459*D460,2)</f>
        <v>8.1999999999999993</v>
      </c>
    </row>
    <row r="461" spans="2:11" s="174" customFormat="1" ht="15" customHeight="1">
      <c r="B461" s="436" t="s">
        <v>295</v>
      </c>
      <c r="C461" s="436"/>
      <c r="D461" s="436"/>
      <c r="E461" s="436"/>
      <c r="F461" s="436"/>
      <c r="G461" s="436"/>
      <c r="H461" s="436"/>
      <c r="I461" s="436"/>
      <c r="J461" s="436"/>
      <c r="K461" s="384">
        <f>SUM(K459:K460)</f>
        <v>35.534399999999998</v>
      </c>
    </row>
    <row r="462" spans="2:11" s="174" customFormat="1" ht="15" customHeight="1">
      <c r="B462" s="260"/>
      <c r="C462" s="260"/>
      <c r="D462" s="260"/>
      <c r="E462" s="260"/>
      <c r="F462" s="260"/>
      <c r="G462" s="260"/>
      <c r="H462" s="260"/>
      <c r="I462" s="260"/>
      <c r="J462" s="260"/>
      <c r="K462" s="261"/>
    </row>
    <row r="463" spans="2:11" s="174" customFormat="1" ht="15" customHeight="1">
      <c r="B463" s="206">
        <v>27</v>
      </c>
      <c r="C463" s="195" t="s">
        <v>401</v>
      </c>
      <c r="D463" s="196" t="s">
        <v>415</v>
      </c>
      <c r="E463" s="196"/>
      <c r="F463" s="196"/>
      <c r="G463" s="196"/>
      <c r="H463" s="195"/>
      <c r="I463" s="207"/>
      <c r="J463" s="182" t="s">
        <v>218</v>
      </c>
      <c r="K463" s="242" t="s">
        <v>241</v>
      </c>
    </row>
    <row r="464" spans="2:11" s="174" customFormat="1" ht="15" customHeight="1">
      <c r="B464" s="184" t="s">
        <v>220</v>
      </c>
      <c r="C464" s="185"/>
      <c r="D464" s="185"/>
      <c r="E464" s="243"/>
      <c r="F464" s="186" t="s">
        <v>221</v>
      </c>
      <c r="G464" s="186" t="s">
        <v>222</v>
      </c>
      <c r="H464" s="186" t="s">
        <v>223</v>
      </c>
      <c r="I464" s="434" t="s">
        <v>224</v>
      </c>
      <c r="J464" s="434"/>
      <c r="K464" s="434"/>
    </row>
    <row r="465" spans="2:11" s="174" customFormat="1" ht="15" customHeight="1">
      <c r="B465" s="184" t="s">
        <v>269</v>
      </c>
      <c r="C465" s="185"/>
      <c r="D465" s="185"/>
      <c r="E465" s="185"/>
      <c r="F465" s="186" t="s">
        <v>244</v>
      </c>
      <c r="G465" s="213">
        <v>0.8</v>
      </c>
      <c r="H465" s="214">
        <f>'Folha Rosto Comp. P. Unit. '!D7</f>
        <v>2.56</v>
      </c>
      <c r="I465" s="200"/>
      <c r="J465" s="200"/>
      <c r="K465" s="215">
        <f>G465*H465</f>
        <v>2.048</v>
      </c>
    </row>
    <row r="466" spans="2:11" s="174" customFormat="1" ht="15" customHeight="1">
      <c r="B466" s="184" t="s">
        <v>300</v>
      </c>
      <c r="C466" s="185"/>
      <c r="D466" s="185"/>
      <c r="E466" s="185"/>
      <c r="F466" s="186" t="s">
        <v>244</v>
      </c>
      <c r="G466" s="213">
        <v>1</v>
      </c>
      <c r="H466" s="214">
        <f>'Folha Rosto Comp. P. Unit. '!D8</f>
        <v>1.64</v>
      </c>
      <c r="I466" s="200"/>
      <c r="J466" s="200"/>
      <c r="K466" s="215">
        <f>G466*H466</f>
        <v>1.64</v>
      </c>
    </row>
    <row r="467" spans="2:11" s="174" customFormat="1" ht="15" customHeight="1">
      <c r="B467" s="184"/>
      <c r="C467" s="185"/>
      <c r="D467" s="216" t="s">
        <v>246</v>
      </c>
      <c r="E467" s="185"/>
      <c r="F467" s="186"/>
      <c r="G467" s="213"/>
      <c r="H467" s="213"/>
      <c r="I467" s="200"/>
      <c r="J467" s="200"/>
      <c r="K467" s="201">
        <f>SUM(K465:K466)</f>
        <v>3.6879999999999997</v>
      </c>
    </row>
    <row r="468" spans="2:11" s="174" customFormat="1" ht="15" customHeight="1">
      <c r="B468" s="184" t="s">
        <v>393</v>
      </c>
      <c r="C468" s="185"/>
      <c r="D468" s="185"/>
      <c r="E468" s="185"/>
      <c r="F468" s="299"/>
      <c r="G468" s="192">
        <f>'[2]Folha Rosto Comp. P. Unit. '!$B$4</f>
        <v>1.26</v>
      </c>
      <c r="H468" s="186"/>
      <c r="I468" s="185"/>
      <c r="J468" s="185"/>
      <c r="K468" s="201">
        <f>K467*G468</f>
        <v>4.6468799999999995</v>
      </c>
    </row>
    <row r="469" spans="2:11" s="174" customFormat="1" ht="15" customHeight="1">
      <c r="B469" s="209"/>
      <c r="C469" s="210"/>
      <c r="D469" s="210"/>
      <c r="E469" s="210"/>
      <c r="F469" s="210"/>
      <c r="G469" s="194" t="s">
        <v>248</v>
      </c>
      <c r="H469" s="195"/>
      <c r="I469" s="383"/>
      <c r="J469" s="219"/>
      <c r="K469" s="384">
        <f>SUM(K467:K468)</f>
        <v>8.3348799999999983</v>
      </c>
    </row>
    <row r="470" spans="2:11" s="174" customFormat="1" ht="15" customHeight="1">
      <c r="B470" s="448" t="s">
        <v>282</v>
      </c>
      <c r="C470" s="448"/>
      <c r="D470" s="448"/>
      <c r="E470" s="448"/>
      <c r="F470" s="186" t="s">
        <v>221</v>
      </c>
      <c r="G470" s="222" t="s">
        <v>249</v>
      </c>
      <c r="H470" s="270" t="s">
        <v>223</v>
      </c>
      <c r="I470" s="439" t="s">
        <v>224</v>
      </c>
      <c r="J470" s="439"/>
      <c r="K470" s="439"/>
    </row>
    <row r="471" spans="2:11" s="174" customFormat="1" ht="15" customHeight="1">
      <c r="B471" s="184" t="s">
        <v>416</v>
      </c>
      <c r="C471" s="185"/>
      <c r="D471" s="185"/>
      <c r="E471" s="243"/>
      <c r="F471" s="186" t="s">
        <v>417</v>
      </c>
      <c r="G471" s="213">
        <v>0.1</v>
      </c>
      <c r="H471" s="325">
        <v>100</v>
      </c>
      <c r="I471" s="199"/>
      <c r="J471" s="200"/>
      <c r="K471" s="387">
        <f>ROUND(G471*H471,2)</f>
        <v>10</v>
      </c>
    </row>
    <row r="472" spans="2:11" s="174" customFormat="1" ht="15" customHeight="1">
      <c r="B472" s="209"/>
      <c r="C472" s="210"/>
      <c r="D472" s="210"/>
      <c r="E472" s="210"/>
      <c r="F472" s="380"/>
      <c r="G472" s="194" t="s">
        <v>232</v>
      </c>
      <c r="H472" s="195"/>
      <c r="I472" s="388"/>
      <c r="J472" s="389"/>
      <c r="K472" s="384">
        <f>SUM(K471:K471)</f>
        <v>10</v>
      </c>
    </row>
    <row r="473" spans="2:11" s="174" customFormat="1" ht="15" customHeight="1">
      <c r="B473" s="184" t="s">
        <v>407</v>
      </c>
      <c r="C473" s="185"/>
      <c r="D473" s="185"/>
      <c r="E473" s="185"/>
      <c r="F473" s="185"/>
      <c r="G473" s="185"/>
      <c r="H473" s="193"/>
      <c r="I473" s="185"/>
      <c r="J473" s="185"/>
      <c r="K473" s="390">
        <f>SUM(K469+K472)</f>
        <v>18.334879999999998</v>
      </c>
    </row>
    <row r="474" spans="2:11" s="174" customFormat="1" ht="15" customHeight="1">
      <c r="B474" s="209" t="s">
        <v>234</v>
      </c>
      <c r="C474" s="210"/>
      <c r="D474" s="203">
        <f>'[2]Folha Rosto Comp. P. Unit. '!$B$5</f>
        <v>0.3</v>
      </c>
      <c r="E474" s="210"/>
      <c r="F474" s="210"/>
      <c r="G474" s="210"/>
      <c r="H474" s="218"/>
      <c r="I474" s="210"/>
      <c r="J474" s="185"/>
      <c r="K474" s="390">
        <f>ROUND(K473*D474,2)</f>
        <v>5.5</v>
      </c>
    </row>
    <row r="475" spans="2:11" s="174" customFormat="1" ht="15" customHeight="1">
      <c r="B475" s="436" t="s">
        <v>235</v>
      </c>
      <c r="C475" s="436"/>
      <c r="D475" s="436"/>
      <c r="E475" s="436"/>
      <c r="F475" s="436"/>
      <c r="G475" s="436"/>
      <c r="H475" s="436"/>
      <c r="I475" s="436"/>
      <c r="J475" s="436"/>
      <c r="K475" s="384">
        <f>SUM(K473:K474)</f>
        <v>23.834879999999998</v>
      </c>
    </row>
    <row r="476" spans="2:11" s="174" customFormat="1" ht="15" customHeight="1">
      <c r="B476" s="260"/>
      <c r="C476" s="260"/>
      <c r="D476" s="260"/>
      <c r="E476" s="260"/>
      <c r="F476" s="260"/>
      <c r="G476" s="260"/>
      <c r="H476" s="260"/>
      <c r="I476" s="260"/>
      <c r="J476" s="260"/>
      <c r="K476" s="261"/>
    </row>
    <row r="477" spans="2:11" s="174" customFormat="1" ht="15" customHeight="1">
      <c r="B477" s="206">
        <v>28</v>
      </c>
      <c r="C477" s="295" t="s">
        <v>216</v>
      </c>
      <c r="D477" s="455" t="s">
        <v>418</v>
      </c>
      <c r="E477" s="455"/>
      <c r="F477" s="455"/>
      <c r="G477" s="455"/>
      <c r="H477" s="455"/>
      <c r="I477" s="455"/>
      <c r="J477" s="296" t="s">
        <v>218</v>
      </c>
      <c r="K477" s="297" t="s">
        <v>219</v>
      </c>
    </row>
    <row r="478" spans="2:11" s="174" customFormat="1" ht="15" customHeight="1">
      <c r="B478" s="298" t="s">
        <v>220</v>
      </c>
      <c r="C478" s="299"/>
      <c r="D478" s="189"/>
      <c r="E478" s="243"/>
      <c r="F478" s="186" t="s">
        <v>221</v>
      </c>
      <c r="G478" s="186" t="s">
        <v>222</v>
      </c>
      <c r="H478" s="186" t="s">
        <v>281</v>
      </c>
      <c r="I478" s="434" t="s">
        <v>224</v>
      </c>
      <c r="J478" s="434"/>
      <c r="K478" s="434"/>
    </row>
    <row r="479" spans="2:11" s="174" customFormat="1" ht="15" customHeight="1">
      <c r="B479" s="184" t="s">
        <v>373</v>
      </c>
      <c r="C479" s="185"/>
      <c r="D479" s="185"/>
      <c r="E479" s="243"/>
      <c r="F479" s="186" t="s">
        <v>244</v>
      </c>
      <c r="G479" s="213">
        <v>0.4</v>
      </c>
      <c r="H479" s="214">
        <f>'Folha Rosto Comp. P. Unit. '!D7</f>
        <v>2.56</v>
      </c>
      <c r="I479" s="191"/>
      <c r="J479" s="193"/>
      <c r="K479" s="215">
        <f>ROUND(G479*H479,2)</f>
        <v>1.02</v>
      </c>
    </row>
    <row r="480" spans="2:11" s="174" customFormat="1" ht="15" customHeight="1">
      <c r="B480" s="184" t="s">
        <v>245</v>
      </c>
      <c r="C480" s="185"/>
      <c r="D480" s="185"/>
      <c r="E480" s="243"/>
      <c r="F480" s="186" t="s">
        <v>244</v>
      </c>
      <c r="G480" s="213">
        <v>0.8</v>
      </c>
      <c r="H480" s="214">
        <f>'Folha Rosto Comp. P. Unit. '!D8</f>
        <v>1.64</v>
      </c>
      <c r="I480" s="199"/>
      <c r="J480" s="200"/>
      <c r="K480" s="215">
        <f>ROUND(G480*H480,2)</f>
        <v>1.31</v>
      </c>
    </row>
    <row r="481" spans="2:11" s="174" customFormat="1" ht="15" customHeight="1">
      <c r="B481" s="184"/>
      <c r="C481" s="185"/>
      <c r="D481" s="216" t="s">
        <v>246</v>
      </c>
      <c r="E481" s="243"/>
      <c r="F481" s="186"/>
      <c r="G481" s="213"/>
      <c r="H481" s="213"/>
      <c r="I481" s="199"/>
      <c r="J481" s="200"/>
      <c r="K481" s="201">
        <f>SUM(K479:K480)</f>
        <v>2.33</v>
      </c>
    </row>
    <row r="482" spans="2:11" s="174" customFormat="1" ht="15" customHeight="1">
      <c r="B482" s="184" t="s">
        <v>354</v>
      </c>
      <c r="C482" s="185"/>
      <c r="D482" s="185"/>
      <c r="E482" s="243"/>
      <c r="F482" s="186"/>
      <c r="G482" s="217">
        <f>'Folha Rosto Comp. P. Unit. '!B4</f>
        <v>1.26</v>
      </c>
      <c r="H482" s="186"/>
      <c r="I482" s="189"/>
      <c r="J482" s="185"/>
      <c r="K482" s="201">
        <f>K481*G482</f>
        <v>2.9358</v>
      </c>
    </row>
    <row r="483" spans="2:11" s="174" customFormat="1" ht="15" customHeight="1">
      <c r="B483" s="209"/>
      <c r="C483" s="210"/>
      <c r="D483" s="210"/>
      <c r="E483" s="210"/>
      <c r="F483" s="218"/>
      <c r="G483" s="194" t="s">
        <v>248</v>
      </c>
      <c r="H483" s="195"/>
      <c r="I483" s="196"/>
      <c r="J483" s="196"/>
      <c r="K483" s="221">
        <f>SUM(K481:K482)</f>
        <v>5.2658000000000005</v>
      </c>
    </row>
    <row r="484" spans="2:11" s="174" customFormat="1" ht="15" customHeight="1">
      <c r="B484" s="456" t="s">
        <v>270</v>
      </c>
      <c r="C484" s="456"/>
      <c r="D484" s="456"/>
      <c r="E484" s="456"/>
      <c r="F484" s="279" t="s">
        <v>221</v>
      </c>
      <c r="G484" s="279" t="s">
        <v>301</v>
      </c>
      <c r="H484" s="279" t="s">
        <v>223</v>
      </c>
      <c r="I484" s="457" t="s">
        <v>224</v>
      </c>
      <c r="J484" s="457"/>
      <c r="K484" s="457"/>
    </row>
    <row r="485" spans="2:11" s="174" customFormat="1" ht="28.15" customHeight="1">
      <c r="B485" s="460" t="s">
        <v>419</v>
      </c>
      <c r="C485" s="460"/>
      <c r="D485" s="460"/>
      <c r="E485" s="460"/>
      <c r="F485" s="186" t="s">
        <v>219</v>
      </c>
      <c r="G485" s="271">
        <v>1</v>
      </c>
      <c r="H485" s="373">
        <f>14*1.2</f>
        <v>16.8</v>
      </c>
      <c r="I485" s="374"/>
      <c r="J485" s="269"/>
      <c r="K485" s="375">
        <f>ROUND(G485*H485,2)</f>
        <v>16.8</v>
      </c>
    </row>
    <row r="486" spans="2:11" s="174" customFormat="1" ht="15" customHeight="1">
      <c r="B486" s="227" t="s">
        <v>420</v>
      </c>
      <c r="C486" s="193"/>
      <c r="D486" s="185"/>
      <c r="E486" s="243"/>
      <c r="F486" s="186" t="s">
        <v>316</v>
      </c>
      <c r="G486" s="213">
        <f>G487</f>
        <v>1.2E-2</v>
      </c>
      <c r="H486" s="316">
        <f>K270</f>
        <v>5.8443500000000004</v>
      </c>
      <c r="I486" s="189"/>
      <c r="J486" s="185"/>
      <c r="K486" s="376">
        <f>ROUND(G486*H486,2)</f>
        <v>7.0000000000000007E-2</v>
      </c>
    </row>
    <row r="487" spans="2:11" s="174" customFormat="1" ht="15" customHeight="1">
      <c r="B487" s="227" t="s">
        <v>421</v>
      </c>
      <c r="C487" s="193"/>
      <c r="D487" s="185"/>
      <c r="E487" s="243"/>
      <c r="F487" s="186" t="s">
        <v>316</v>
      </c>
      <c r="G487" s="213">
        <f>0.8*0.3*0.05</f>
        <v>1.2E-2</v>
      </c>
      <c r="H487" s="316">
        <f>K603</f>
        <v>274.60480000000001</v>
      </c>
      <c r="I487" s="189"/>
      <c r="J487" s="185"/>
      <c r="K487" s="376">
        <f>ROUND(G487*H487,2)</f>
        <v>3.3</v>
      </c>
    </row>
    <row r="488" spans="2:11" s="174" customFormat="1" ht="15" customHeight="1">
      <c r="B488" s="227"/>
      <c r="C488" s="185"/>
      <c r="D488" s="185"/>
      <c r="E488" s="243"/>
      <c r="F488" s="186"/>
      <c r="G488" s="194"/>
      <c r="H488" s="302"/>
      <c r="I488" s="196"/>
      <c r="J488" s="196"/>
      <c r="K488" s="221">
        <f>SUM(K485:K487)</f>
        <v>20.170000000000002</v>
      </c>
    </row>
    <row r="489" spans="2:11" s="174" customFormat="1" ht="15" customHeight="1">
      <c r="B489" s="305" t="s">
        <v>311</v>
      </c>
      <c r="C489" s="278"/>
      <c r="D489" s="210"/>
      <c r="E489" s="210"/>
      <c r="F489" s="218"/>
      <c r="G489" s="210"/>
      <c r="H489" s="218"/>
      <c r="I489" s="210"/>
      <c r="J489" s="210"/>
      <c r="K489" s="258">
        <f>SUM(K483+K488)</f>
        <v>25.4358</v>
      </c>
    </row>
    <row r="490" spans="2:11" s="174" customFormat="1" ht="15" customHeight="1">
      <c r="B490" s="349" t="s">
        <v>234</v>
      </c>
      <c r="C490" s="350"/>
      <c r="D490" s="351">
        <f>'Folha Rosto Comp. P. Unit. '!B5</f>
        <v>0.3</v>
      </c>
      <c r="E490" s="352"/>
      <c r="F490" s="353"/>
      <c r="G490" s="352"/>
      <c r="H490" s="353"/>
      <c r="I490" s="352"/>
      <c r="J490" s="172"/>
      <c r="K490" s="202">
        <f>ROUND(K489*D490,2)</f>
        <v>7.63</v>
      </c>
    </row>
    <row r="491" spans="2:11" s="174" customFormat="1" ht="15" customHeight="1">
      <c r="B491" s="436" t="s">
        <v>295</v>
      </c>
      <c r="C491" s="436"/>
      <c r="D491" s="436"/>
      <c r="E491" s="436"/>
      <c r="F491" s="436"/>
      <c r="G491" s="436"/>
      <c r="H491" s="436"/>
      <c r="I491" s="436"/>
      <c r="J491" s="436"/>
      <c r="K491" s="384">
        <f>SUM(K489:K490)</f>
        <v>33.065800000000003</v>
      </c>
    </row>
    <row r="492" spans="2:11" s="174" customFormat="1" ht="15" customHeight="1">
      <c r="B492" s="260"/>
      <c r="C492" s="260"/>
      <c r="D492" s="260"/>
      <c r="E492" s="260"/>
      <c r="F492" s="260"/>
      <c r="G492" s="260"/>
      <c r="H492" s="260"/>
      <c r="I492" s="260"/>
      <c r="J492" s="260"/>
      <c r="K492" s="261"/>
    </row>
    <row r="493" spans="2:11" s="174" customFormat="1" ht="29.25" customHeight="1">
      <c r="B493" s="206">
        <v>29</v>
      </c>
      <c r="C493" s="181" t="s">
        <v>344</v>
      </c>
      <c r="D493" s="461" t="s">
        <v>422</v>
      </c>
      <c r="E493" s="461"/>
      <c r="F493" s="461"/>
      <c r="G493" s="461"/>
      <c r="H493" s="461"/>
      <c r="I493" s="461"/>
      <c r="J493" s="182" t="s">
        <v>218</v>
      </c>
      <c r="K493" s="242" t="s">
        <v>340</v>
      </c>
    </row>
    <row r="494" spans="2:11" s="174" customFormat="1" ht="15" customHeight="1">
      <c r="B494" s="268" t="s">
        <v>220</v>
      </c>
      <c r="C494" s="269"/>
      <c r="D494" s="269"/>
      <c r="E494" s="358"/>
      <c r="F494" s="270" t="s">
        <v>221</v>
      </c>
      <c r="G494" s="270" t="s">
        <v>222</v>
      </c>
      <c r="H494" s="270" t="s">
        <v>223</v>
      </c>
      <c r="I494" s="435" t="s">
        <v>224</v>
      </c>
      <c r="J494" s="435"/>
      <c r="K494" s="435"/>
    </row>
    <row r="495" spans="2:11" s="174" customFormat="1" ht="15" customHeight="1">
      <c r="B495" s="184" t="s">
        <v>245</v>
      </c>
      <c r="C495" s="185"/>
      <c r="D495" s="185"/>
      <c r="E495" s="185"/>
      <c r="F495" s="186" t="s">
        <v>244</v>
      </c>
      <c r="G495" s="213">
        <v>0.1</v>
      </c>
      <c r="H495" s="213">
        <f>'Folha Rosto Comp. P. Unit. '!D8</f>
        <v>1.64</v>
      </c>
      <c r="I495" s="200"/>
      <c r="J495" s="200"/>
      <c r="K495" s="201">
        <f>ROUND(G495*H495,2)</f>
        <v>0.16</v>
      </c>
    </row>
    <row r="496" spans="2:11" s="174" customFormat="1" ht="15" customHeight="1">
      <c r="B496" s="184" t="s">
        <v>373</v>
      </c>
      <c r="C496" s="185"/>
      <c r="D496" s="185"/>
      <c r="E496" s="185"/>
      <c r="F496" s="186" t="s">
        <v>244</v>
      </c>
      <c r="G496" s="213">
        <v>0.1</v>
      </c>
      <c r="H496" s="213">
        <f>'Folha Rosto Comp. P. Unit. '!D7</f>
        <v>2.56</v>
      </c>
      <c r="I496" s="200"/>
      <c r="J496" s="200"/>
      <c r="K496" s="201">
        <f>ROUND(G496*H496,2)</f>
        <v>0.26</v>
      </c>
    </row>
    <row r="497" spans="2:11" s="174" customFormat="1" ht="15" customHeight="1">
      <c r="B497" s="184"/>
      <c r="C497" s="185"/>
      <c r="D497" s="216" t="s">
        <v>246</v>
      </c>
      <c r="E497" s="185"/>
      <c r="F497" s="186"/>
      <c r="G497" s="229"/>
      <c r="H497" s="229"/>
      <c r="I497" s="230"/>
      <c r="J497" s="230"/>
      <c r="K497" s="231">
        <f>SUM(K495:K496)</f>
        <v>0.42000000000000004</v>
      </c>
    </row>
    <row r="498" spans="2:11" s="174" customFormat="1" ht="15" customHeight="1">
      <c r="B498" s="184" t="s">
        <v>393</v>
      </c>
      <c r="C498" s="185"/>
      <c r="D498" s="185"/>
      <c r="E498" s="185"/>
      <c r="F498" s="186" t="s">
        <v>244</v>
      </c>
      <c r="G498" s="343">
        <f>'Folha Rosto Comp. P. Unit. '!B111</f>
        <v>0</v>
      </c>
      <c r="H498" s="342"/>
      <c r="I498" s="234"/>
      <c r="J498" s="234"/>
      <c r="K498" s="344">
        <f>K497*G498</f>
        <v>0</v>
      </c>
    </row>
    <row r="499" spans="2:11" s="174" customFormat="1" ht="15" customHeight="1">
      <c r="B499" s="184"/>
      <c r="C499" s="185"/>
      <c r="D499" s="185"/>
      <c r="E499" s="185"/>
      <c r="F499" s="185"/>
      <c r="G499" s="194" t="s">
        <v>248</v>
      </c>
      <c r="H499" s="195"/>
      <c r="I499" s="219"/>
      <c r="J499" s="219"/>
      <c r="K499" s="221">
        <f>SUM(K497:K498)</f>
        <v>0.42000000000000004</v>
      </c>
    </row>
    <row r="500" spans="2:11" s="174" customFormat="1" ht="15" customHeight="1">
      <c r="B500" s="438" t="s">
        <v>282</v>
      </c>
      <c r="C500" s="438"/>
      <c r="D500" s="438"/>
      <c r="E500" s="438"/>
      <c r="F500" s="222" t="s">
        <v>221</v>
      </c>
      <c r="G500" s="222" t="s">
        <v>394</v>
      </c>
      <c r="H500" s="222" t="s">
        <v>223</v>
      </c>
      <c r="I500" s="439" t="s">
        <v>224</v>
      </c>
      <c r="J500" s="439"/>
      <c r="K500" s="439"/>
    </row>
    <row r="501" spans="2:11" s="174" customFormat="1" ht="15" customHeight="1">
      <c r="B501" s="184" t="s">
        <v>395</v>
      </c>
      <c r="C501" s="185"/>
      <c r="D501" s="185"/>
      <c r="E501" s="243"/>
      <c r="F501" s="222" t="s">
        <v>241</v>
      </c>
      <c r="G501" s="222">
        <f>1*0.2*0.1</f>
        <v>2.0000000000000004E-2</v>
      </c>
      <c r="H501" s="290">
        <f>K603</f>
        <v>274.60480000000001</v>
      </c>
      <c r="I501" s="252"/>
      <c r="J501" s="210"/>
      <c r="K501" s="215">
        <f>ROUND(G501*H501,2)</f>
        <v>5.49</v>
      </c>
    </row>
    <row r="502" spans="2:11" s="174" customFormat="1" ht="15" customHeight="1">
      <c r="B502" s="184" t="s">
        <v>396</v>
      </c>
      <c r="C502" s="185"/>
      <c r="D502" s="210"/>
      <c r="E502" s="210"/>
      <c r="F502" s="198" t="s">
        <v>241</v>
      </c>
      <c r="G502" s="214">
        <v>1</v>
      </c>
      <c r="H502" s="214">
        <f>K635</f>
        <v>26.5596</v>
      </c>
      <c r="I502" s="255"/>
      <c r="J502" s="256"/>
      <c r="K502" s="215">
        <f>ROUND(G502*H502,2)</f>
        <v>26.56</v>
      </c>
    </row>
    <row r="503" spans="2:11" s="174" customFormat="1" ht="15" customHeight="1">
      <c r="B503" s="184"/>
      <c r="C503" s="185"/>
      <c r="D503" s="185"/>
      <c r="E503" s="185"/>
      <c r="F503" s="299"/>
      <c r="G503" s="194" t="s">
        <v>397</v>
      </c>
      <c r="H503" s="195"/>
      <c r="I503" s="383"/>
      <c r="J503" s="219"/>
      <c r="K503" s="221">
        <f>SUM(K501:K502)</f>
        <v>32.049999999999997</v>
      </c>
    </row>
    <row r="504" spans="2:11" s="174" customFormat="1" ht="15" customHeight="1">
      <c r="B504" s="209" t="s">
        <v>398</v>
      </c>
      <c r="C504" s="210"/>
      <c r="D504" s="210"/>
      <c r="E504" s="210"/>
      <c r="F504" s="210"/>
      <c r="G504" s="210"/>
      <c r="H504" s="218"/>
      <c r="I504" s="210"/>
      <c r="J504" s="210"/>
      <c r="K504" s="258">
        <f>SUM(K499,K503)</f>
        <v>32.47</v>
      </c>
    </row>
    <row r="505" spans="2:11" s="174" customFormat="1" ht="15" customHeight="1">
      <c r="B505" s="209" t="s">
        <v>234</v>
      </c>
      <c r="C505" s="210"/>
      <c r="D505" s="203">
        <f>'Folha Rosto Comp. P. Unit. '!B5</f>
        <v>0.3</v>
      </c>
      <c r="E505" s="210"/>
      <c r="F505" s="210"/>
      <c r="G505" s="210"/>
      <c r="H505" s="218"/>
      <c r="I505" s="210"/>
      <c r="J505" s="185"/>
      <c r="K505" s="202">
        <f>K504*D505</f>
        <v>9.7409999999999997</v>
      </c>
    </row>
    <row r="506" spans="2:11" s="174" customFormat="1" ht="15" customHeight="1">
      <c r="B506" s="436" t="s">
        <v>235</v>
      </c>
      <c r="C506" s="436"/>
      <c r="D506" s="436"/>
      <c r="E506" s="436"/>
      <c r="F506" s="436"/>
      <c r="G506" s="436"/>
      <c r="H506" s="436"/>
      <c r="I506" s="436"/>
      <c r="J506" s="436"/>
      <c r="K506" s="221">
        <f>SUM(K504:K505)</f>
        <v>42.210999999999999</v>
      </c>
    </row>
    <row r="507" spans="2:11" s="174" customFormat="1" ht="15" customHeight="1">
      <c r="B507" s="260"/>
      <c r="C507" s="260"/>
      <c r="D507" s="260"/>
      <c r="E507" s="260"/>
      <c r="F507" s="260"/>
      <c r="G507" s="260"/>
      <c r="H507" s="260"/>
      <c r="I507" s="260"/>
      <c r="J507" s="260"/>
      <c r="K507" s="261"/>
    </row>
    <row r="508" spans="2:11" s="174" customFormat="1" ht="15" customHeight="1">
      <c r="B508" s="206">
        <v>30</v>
      </c>
      <c r="C508" s="181" t="s">
        <v>344</v>
      </c>
      <c r="D508" s="461" t="s">
        <v>423</v>
      </c>
      <c r="E508" s="461"/>
      <c r="F508" s="461"/>
      <c r="G508" s="461"/>
      <c r="H508" s="461"/>
      <c r="I508" s="461"/>
      <c r="J508" s="182" t="s">
        <v>218</v>
      </c>
      <c r="K508" s="242" t="s">
        <v>340</v>
      </c>
    </row>
    <row r="509" spans="2:11" s="174" customFormat="1" ht="15" customHeight="1">
      <c r="B509" s="268" t="s">
        <v>220</v>
      </c>
      <c r="C509" s="269"/>
      <c r="D509" s="269"/>
      <c r="E509" s="358"/>
      <c r="F509" s="270" t="s">
        <v>221</v>
      </c>
      <c r="G509" s="270" t="s">
        <v>222</v>
      </c>
      <c r="H509" s="270" t="s">
        <v>223</v>
      </c>
      <c r="I509" s="435" t="s">
        <v>224</v>
      </c>
      <c r="J509" s="435"/>
      <c r="K509" s="435"/>
    </row>
    <row r="510" spans="2:11" s="174" customFormat="1" ht="15" customHeight="1">
      <c r="B510" s="184" t="s">
        <v>245</v>
      </c>
      <c r="C510" s="185"/>
      <c r="D510" s="185"/>
      <c r="E510" s="185"/>
      <c r="F510" s="186" t="s">
        <v>244</v>
      </c>
      <c r="G510" s="213">
        <v>0.1</v>
      </c>
      <c r="H510" s="213">
        <f>'Folha Rosto Comp. P. Unit. '!D8</f>
        <v>1.64</v>
      </c>
      <c r="I510" s="200"/>
      <c r="J510" s="200"/>
      <c r="K510" s="201">
        <f>ROUND(G510*H510,2)</f>
        <v>0.16</v>
      </c>
    </row>
    <row r="511" spans="2:11" s="174" customFormat="1" ht="15" customHeight="1">
      <c r="B511" s="184" t="s">
        <v>373</v>
      </c>
      <c r="C511" s="185"/>
      <c r="D511" s="185"/>
      <c r="E511" s="185"/>
      <c r="F511" s="186" t="s">
        <v>244</v>
      </c>
      <c r="G511" s="213">
        <v>0.1</v>
      </c>
      <c r="H511" s="213">
        <f>'Folha Rosto Comp. P. Unit. '!D7</f>
        <v>2.56</v>
      </c>
      <c r="I511" s="200"/>
      <c r="J511" s="200"/>
      <c r="K511" s="201">
        <f>ROUND(G511*H511,2)</f>
        <v>0.26</v>
      </c>
    </row>
    <row r="512" spans="2:11" s="174" customFormat="1" ht="15" customHeight="1">
      <c r="B512" s="184"/>
      <c r="C512" s="185"/>
      <c r="D512" s="216" t="s">
        <v>246</v>
      </c>
      <c r="E512" s="185"/>
      <c r="F512" s="186"/>
      <c r="G512" s="229"/>
      <c r="H512" s="229"/>
      <c r="I512" s="230"/>
      <c r="J512" s="230"/>
      <c r="K512" s="231">
        <f>SUM(K510:K511)</f>
        <v>0.42000000000000004</v>
      </c>
    </row>
    <row r="513" spans="2:11" s="174" customFormat="1" ht="15" customHeight="1">
      <c r="B513" s="184" t="s">
        <v>393</v>
      </c>
      <c r="C513" s="185"/>
      <c r="D513" s="185"/>
      <c r="E513" s="185"/>
      <c r="F513" s="186" t="s">
        <v>244</v>
      </c>
      <c r="G513" s="343">
        <f>'Folha Rosto Comp. P. Unit. '!B4</f>
        <v>1.26</v>
      </c>
      <c r="H513" s="342"/>
      <c r="I513" s="234"/>
      <c r="J513" s="234"/>
      <c r="K513" s="344">
        <f>K512*G513</f>
        <v>0.5292</v>
      </c>
    </row>
    <row r="514" spans="2:11" s="174" customFormat="1" ht="15" customHeight="1">
      <c r="B514" s="184"/>
      <c r="C514" s="185"/>
      <c r="D514" s="185"/>
      <c r="E514" s="185"/>
      <c r="F514" s="185"/>
      <c r="G514" s="194" t="s">
        <v>248</v>
      </c>
      <c r="H514" s="195"/>
      <c r="I514" s="219"/>
      <c r="J514" s="219"/>
      <c r="K514" s="221">
        <f>SUM(K512:K513)</f>
        <v>0.94920000000000004</v>
      </c>
    </row>
    <row r="515" spans="2:11" s="174" customFormat="1" ht="15" customHeight="1">
      <c r="B515" s="438" t="s">
        <v>282</v>
      </c>
      <c r="C515" s="438"/>
      <c r="D515" s="438"/>
      <c r="E515" s="438"/>
      <c r="F515" s="222" t="s">
        <v>221</v>
      </c>
      <c r="G515" s="222" t="s">
        <v>394</v>
      </c>
      <c r="H515" s="222" t="s">
        <v>223</v>
      </c>
      <c r="I515" s="439" t="s">
        <v>224</v>
      </c>
      <c r="J515" s="439"/>
      <c r="K515" s="439"/>
    </row>
    <row r="516" spans="2:11" s="174" customFormat="1" ht="15" customHeight="1">
      <c r="B516" s="184" t="s">
        <v>395</v>
      </c>
      <c r="C516" s="185"/>
      <c r="D516" s="185"/>
      <c r="E516" s="243"/>
      <c r="F516" s="222" t="s">
        <v>241</v>
      </c>
      <c r="G516" s="222">
        <f>1*0.2*0.1</f>
        <v>2.0000000000000004E-2</v>
      </c>
      <c r="H516" s="290">
        <f>K603</f>
        <v>274.60480000000001</v>
      </c>
      <c r="I516" s="252"/>
      <c r="J516" s="210"/>
      <c r="K516" s="215">
        <f>ROUND(G516*H516,2)</f>
        <v>5.49</v>
      </c>
    </row>
    <row r="517" spans="2:11" s="174" customFormat="1" ht="15" customHeight="1">
      <c r="B517" s="184" t="s">
        <v>396</v>
      </c>
      <c r="C517" s="185"/>
      <c r="D517" s="210"/>
      <c r="E517" s="210"/>
      <c r="F517" s="198" t="s">
        <v>241</v>
      </c>
      <c r="G517" s="214">
        <v>1</v>
      </c>
      <c r="H517" s="214">
        <v>18.149999999999999</v>
      </c>
      <c r="I517" s="255"/>
      <c r="J517" s="256"/>
      <c r="K517" s="215">
        <f>ROUND(G517*H517,2)</f>
        <v>18.149999999999999</v>
      </c>
    </row>
    <row r="518" spans="2:11" s="174" customFormat="1" ht="15" customHeight="1">
      <c r="B518" s="184"/>
      <c r="C518" s="185"/>
      <c r="D518" s="185"/>
      <c r="E518" s="185"/>
      <c r="F518" s="299"/>
      <c r="G518" s="194" t="s">
        <v>397</v>
      </c>
      <c r="H518" s="195"/>
      <c r="I518" s="383"/>
      <c r="J518" s="219"/>
      <c r="K518" s="221">
        <f>SUM(K516:K517)</f>
        <v>23.64</v>
      </c>
    </row>
    <row r="519" spans="2:11" s="174" customFormat="1" ht="15" customHeight="1">
      <c r="B519" s="209" t="s">
        <v>398</v>
      </c>
      <c r="C519" s="210"/>
      <c r="D519" s="210"/>
      <c r="E519" s="210"/>
      <c r="F519" s="210"/>
      <c r="G519" s="210"/>
      <c r="H519" s="218"/>
      <c r="I519" s="210"/>
      <c r="J519" s="210"/>
      <c r="K519" s="258">
        <f>SUM(K514,K518)</f>
        <v>24.589200000000002</v>
      </c>
    </row>
    <row r="520" spans="2:11" s="174" customFormat="1" ht="15" customHeight="1">
      <c r="B520" s="209" t="s">
        <v>234</v>
      </c>
      <c r="C520" s="210"/>
      <c r="D520" s="203">
        <f>'Folha Rosto Comp. P. Unit. '!B5</f>
        <v>0.3</v>
      </c>
      <c r="E520" s="210"/>
      <c r="F520" s="210"/>
      <c r="G520" s="210"/>
      <c r="H520" s="218"/>
      <c r="I520" s="210"/>
      <c r="J520" s="185"/>
      <c r="K520" s="202">
        <f>K519*D520</f>
        <v>7.37676</v>
      </c>
    </row>
    <row r="521" spans="2:11" s="174" customFormat="1" ht="15" customHeight="1">
      <c r="B521" s="436" t="s">
        <v>235</v>
      </c>
      <c r="C521" s="436"/>
      <c r="D521" s="436"/>
      <c r="E521" s="436"/>
      <c r="F521" s="436"/>
      <c r="G521" s="436"/>
      <c r="H521" s="436"/>
      <c r="I521" s="436"/>
      <c r="J521" s="436"/>
      <c r="K521" s="221">
        <f>SUM(K519:K520)</f>
        <v>31.965960000000003</v>
      </c>
    </row>
    <row r="522" spans="2:11" s="174" customFormat="1" ht="15" customHeight="1">
      <c r="B522" s="260"/>
      <c r="C522" s="260"/>
      <c r="D522" s="260"/>
      <c r="E522" s="260"/>
      <c r="F522" s="260"/>
      <c r="G522" s="260"/>
      <c r="H522" s="260"/>
      <c r="I522" s="260"/>
      <c r="J522" s="260"/>
      <c r="K522" s="261"/>
    </row>
    <row r="523" spans="2:11" s="174" customFormat="1" ht="15" customHeight="1">
      <c r="B523" s="206">
        <v>31</v>
      </c>
      <c r="C523" s="181" t="s">
        <v>344</v>
      </c>
      <c r="D523" s="461" t="s">
        <v>424</v>
      </c>
      <c r="E523" s="461"/>
      <c r="F523" s="461"/>
      <c r="G523" s="461"/>
      <c r="H523" s="461"/>
      <c r="I523" s="461"/>
      <c r="J523" s="182" t="s">
        <v>218</v>
      </c>
      <c r="K523" s="242" t="s">
        <v>219</v>
      </c>
    </row>
    <row r="524" spans="2:11" s="174" customFormat="1" ht="15" customHeight="1">
      <c r="B524" s="268" t="s">
        <v>220</v>
      </c>
      <c r="C524" s="269"/>
      <c r="D524" s="269"/>
      <c r="E524" s="358"/>
      <c r="F524" s="270" t="s">
        <v>221</v>
      </c>
      <c r="G524" s="270" t="s">
        <v>222</v>
      </c>
      <c r="H524" s="270" t="s">
        <v>223</v>
      </c>
      <c r="I524" s="435" t="s">
        <v>224</v>
      </c>
      <c r="J524" s="435"/>
      <c r="K524" s="435"/>
    </row>
    <row r="525" spans="2:11" s="174" customFormat="1" ht="15" customHeight="1">
      <c r="B525" s="184" t="s">
        <v>245</v>
      </c>
      <c r="C525" s="185"/>
      <c r="D525" s="185"/>
      <c r="E525" s="185"/>
      <c r="F525" s="186" t="s">
        <v>244</v>
      </c>
      <c r="G525" s="213">
        <v>0.1</v>
      </c>
      <c r="H525" s="213">
        <f>'Folha Rosto Comp. P. Unit. '!D8</f>
        <v>1.64</v>
      </c>
      <c r="I525" s="200"/>
      <c r="J525" s="200"/>
      <c r="K525" s="201">
        <f>ROUND(G525*H525,2)</f>
        <v>0.16</v>
      </c>
    </row>
    <row r="526" spans="2:11" s="174" customFormat="1" ht="15" customHeight="1">
      <c r="B526" s="184" t="s">
        <v>373</v>
      </c>
      <c r="C526" s="185"/>
      <c r="D526" s="185"/>
      <c r="E526" s="185"/>
      <c r="F526" s="186" t="s">
        <v>244</v>
      </c>
      <c r="G526" s="213">
        <v>0.1</v>
      </c>
      <c r="H526" s="213">
        <f>'Folha Rosto Comp. P. Unit. '!D7</f>
        <v>2.56</v>
      </c>
      <c r="I526" s="200"/>
      <c r="J526" s="200"/>
      <c r="K526" s="201">
        <f>ROUND(G526*H526,2)</f>
        <v>0.26</v>
      </c>
    </row>
    <row r="527" spans="2:11" s="174" customFormat="1" ht="15" customHeight="1">
      <c r="B527" s="184"/>
      <c r="C527" s="185"/>
      <c r="D527" s="216" t="s">
        <v>246</v>
      </c>
      <c r="E527" s="185"/>
      <c r="F527" s="186"/>
      <c r="G527" s="229"/>
      <c r="H527" s="229"/>
      <c r="I527" s="230"/>
      <c r="J527" s="230"/>
      <c r="K527" s="231">
        <f>SUM(K525:K526)</f>
        <v>0.42000000000000004</v>
      </c>
    </row>
    <row r="528" spans="2:11" s="174" customFormat="1" ht="15" customHeight="1">
      <c r="B528" s="184" t="s">
        <v>393</v>
      </c>
      <c r="C528" s="185"/>
      <c r="D528" s="185"/>
      <c r="E528" s="185"/>
      <c r="F528" s="186" t="s">
        <v>244</v>
      </c>
      <c r="G528" s="343">
        <f>'Folha Rosto Comp. P. Unit. '!B4</f>
        <v>1.26</v>
      </c>
      <c r="H528" s="342"/>
      <c r="I528" s="234"/>
      <c r="J528" s="234"/>
      <c r="K528" s="344">
        <f>K527*G528</f>
        <v>0.5292</v>
      </c>
    </row>
    <row r="529" spans="2:11" s="174" customFormat="1" ht="15" customHeight="1">
      <c r="B529" s="184"/>
      <c r="C529" s="185"/>
      <c r="D529" s="185"/>
      <c r="E529" s="185"/>
      <c r="F529" s="185"/>
      <c r="G529" s="194" t="s">
        <v>248</v>
      </c>
      <c r="H529" s="195"/>
      <c r="I529" s="219"/>
      <c r="J529" s="219"/>
      <c r="K529" s="221">
        <f>SUM(K527:K528)</f>
        <v>0.94920000000000004</v>
      </c>
    </row>
    <row r="530" spans="2:11" s="174" customFormat="1" ht="15" customHeight="1">
      <c r="B530" s="438" t="s">
        <v>282</v>
      </c>
      <c r="C530" s="438"/>
      <c r="D530" s="438"/>
      <c r="E530" s="438"/>
      <c r="F530" s="222" t="s">
        <v>221</v>
      </c>
      <c r="G530" s="222" t="s">
        <v>394</v>
      </c>
      <c r="H530" s="222" t="s">
        <v>223</v>
      </c>
      <c r="I530" s="439" t="s">
        <v>224</v>
      </c>
      <c r="J530" s="439"/>
      <c r="K530" s="439"/>
    </row>
    <row r="531" spans="2:11" s="174" customFormat="1" ht="15" customHeight="1">
      <c r="B531" s="184" t="s">
        <v>395</v>
      </c>
      <c r="C531" s="185"/>
      <c r="D531" s="185"/>
      <c r="E531" s="243"/>
      <c r="F531" s="222" t="s">
        <v>241</v>
      </c>
      <c r="G531" s="222">
        <f>0.5*0.1*0.1*2</f>
        <v>1.0000000000000002E-2</v>
      </c>
      <c r="H531" s="290">
        <f>K603</f>
        <v>274.60480000000001</v>
      </c>
      <c r="I531" s="278"/>
      <c r="J531" s="278"/>
      <c r="K531" s="277">
        <f>ROUND(G531*H531,2)</f>
        <v>2.75</v>
      </c>
    </row>
    <row r="532" spans="2:11" s="174" customFormat="1" ht="15" customHeight="1">
      <c r="B532" s="184" t="s">
        <v>425</v>
      </c>
      <c r="C532" s="185"/>
      <c r="D532" s="185"/>
      <c r="E532" s="185"/>
      <c r="F532" s="186" t="s">
        <v>219</v>
      </c>
      <c r="G532" s="214">
        <v>1</v>
      </c>
      <c r="H532" s="214">
        <f>128/2*1.1</f>
        <v>70.400000000000006</v>
      </c>
      <c r="I532" s="276"/>
      <c r="J532" s="276"/>
      <c r="K532" s="215">
        <f>ROUND(G532*H532,2)</f>
        <v>70.400000000000006</v>
      </c>
    </row>
    <row r="533" spans="2:11" s="174" customFormat="1" ht="15" customHeight="1">
      <c r="B533" s="184" t="s">
        <v>426</v>
      </c>
      <c r="C533" s="185"/>
      <c r="D533" s="185"/>
      <c r="E533" s="185"/>
      <c r="F533" s="222" t="s">
        <v>241</v>
      </c>
      <c r="G533" s="214">
        <f>1.6*(2*3.14*0.25)</f>
        <v>2.5120000000000005</v>
      </c>
      <c r="H533" s="214">
        <f>K726</f>
        <v>27.877120000000001</v>
      </c>
      <c r="I533" s="276"/>
      <c r="J533" s="276"/>
      <c r="K533" s="215">
        <f>ROUND(G533*H533,2)</f>
        <v>70.03</v>
      </c>
    </row>
    <row r="534" spans="2:11" s="174" customFormat="1" ht="15" customHeight="1">
      <c r="B534" s="184" t="s">
        <v>427</v>
      </c>
      <c r="C534" s="185"/>
      <c r="D534" s="185"/>
      <c r="E534" s="185"/>
      <c r="F534" s="222" t="s">
        <v>241</v>
      </c>
      <c r="G534" s="214">
        <f>G533</f>
        <v>2.5120000000000005</v>
      </c>
      <c r="H534" s="214">
        <f>K743</f>
        <v>24.957120000000003</v>
      </c>
      <c r="I534" s="276"/>
      <c r="J534" s="276"/>
      <c r="K534" s="215">
        <f>ROUND(G534*H534,2)</f>
        <v>62.69</v>
      </c>
    </row>
    <row r="535" spans="2:11" s="174" customFormat="1" ht="15" customHeight="1">
      <c r="B535" s="184"/>
      <c r="C535" s="185"/>
      <c r="D535" s="185"/>
      <c r="E535" s="185"/>
      <c r="F535" s="299"/>
      <c r="G535" s="248" t="s">
        <v>397</v>
      </c>
      <c r="H535" s="249"/>
      <c r="I535" s="398"/>
      <c r="J535" s="250"/>
      <c r="K535" s="251">
        <f>SUM(K531:K534)</f>
        <v>205.87</v>
      </c>
    </row>
    <row r="536" spans="2:11" s="174" customFormat="1" ht="15" customHeight="1">
      <c r="B536" s="209" t="s">
        <v>398</v>
      </c>
      <c r="C536" s="210"/>
      <c r="D536" s="210"/>
      <c r="E536" s="210"/>
      <c r="F536" s="210"/>
      <c r="G536" s="210"/>
      <c r="H536" s="218"/>
      <c r="I536" s="210"/>
      <c r="J536" s="210"/>
      <c r="K536" s="258">
        <f>SUM(K529,K535)</f>
        <v>206.8192</v>
      </c>
    </row>
    <row r="537" spans="2:11" s="174" customFormat="1" ht="15" customHeight="1">
      <c r="B537" s="209" t="s">
        <v>234</v>
      </c>
      <c r="C537" s="210"/>
      <c r="D537" s="203">
        <f>'Folha Rosto Comp. P. Unit. '!B5</f>
        <v>0.3</v>
      </c>
      <c r="E537" s="210"/>
      <c r="F537" s="210"/>
      <c r="G537" s="210"/>
      <c r="H537" s="218"/>
      <c r="I537" s="210"/>
      <c r="J537" s="185"/>
      <c r="K537" s="202">
        <f>K536*D537</f>
        <v>62.045759999999994</v>
      </c>
    </row>
    <row r="538" spans="2:11" s="174" customFormat="1" ht="15" customHeight="1">
      <c r="B538" s="436" t="s">
        <v>235</v>
      </c>
      <c r="C538" s="436"/>
      <c r="D538" s="436"/>
      <c r="E538" s="436"/>
      <c r="F538" s="436"/>
      <c r="G538" s="436"/>
      <c r="H538" s="436"/>
      <c r="I538" s="436"/>
      <c r="J538" s="436"/>
      <c r="K538" s="221">
        <f>SUM(K536:K537)</f>
        <v>268.86496</v>
      </c>
    </row>
    <row r="539" spans="2:11" s="174" customFormat="1" ht="15" customHeight="1">
      <c r="B539" s="260"/>
      <c r="C539" s="260"/>
      <c r="D539" s="260"/>
      <c r="E539" s="260"/>
      <c r="F539" s="260"/>
      <c r="G539" s="260"/>
      <c r="H539" s="260"/>
      <c r="I539" s="260"/>
      <c r="J539" s="260"/>
      <c r="K539" s="261"/>
    </row>
    <row r="540" spans="2:11" s="174" customFormat="1" ht="15" customHeight="1">
      <c r="B540" s="206">
        <v>32</v>
      </c>
      <c r="C540" s="181" t="s">
        <v>344</v>
      </c>
      <c r="D540" s="461" t="s">
        <v>428</v>
      </c>
      <c r="E540" s="461"/>
      <c r="F540" s="461"/>
      <c r="G540" s="461"/>
      <c r="H540" s="461"/>
      <c r="I540" s="461"/>
      <c r="J540" s="182" t="s">
        <v>218</v>
      </c>
      <c r="K540" s="297" t="s">
        <v>219</v>
      </c>
    </row>
    <row r="541" spans="2:11" s="174" customFormat="1" ht="15" customHeight="1">
      <c r="B541" s="268" t="s">
        <v>220</v>
      </c>
      <c r="C541" s="269"/>
      <c r="D541" s="269"/>
      <c r="E541" s="358"/>
      <c r="F541" s="270" t="s">
        <v>221</v>
      </c>
      <c r="G541" s="270" t="s">
        <v>222</v>
      </c>
      <c r="H541" s="270" t="s">
        <v>223</v>
      </c>
      <c r="I541" s="435" t="s">
        <v>224</v>
      </c>
      <c r="J541" s="435"/>
      <c r="K541" s="435"/>
    </row>
    <row r="542" spans="2:11" s="174" customFormat="1" ht="15" customHeight="1">
      <c r="B542" s="184" t="s">
        <v>245</v>
      </c>
      <c r="C542" s="185"/>
      <c r="D542" s="185"/>
      <c r="E542" s="185"/>
      <c r="F542" s="186" t="s">
        <v>244</v>
      </c>
      <c r="G542" s="213">
        <v>0.1</v>
      </c>
      <c r="H542" s="213">
        <f>'Folha Rosto Comp. P. Unit. '!D8</f>
        <v>1.64</v>
      </c>
      <c r="I542" s="200"/>
      <c r="J542" s="200"/>
      <c r="K542" s="201">
        <f>ROUND(G542*H542,2)</f>
        <v>0.16</v>
      </c>
    </row>
    <row r="543" spans="2:11" s="174" customFormat="1" ht="15" customHeight="1">
      <c r="B543" s="184" t="s">
        <v>373</v>
      </c>
      <c r="C543" s="185"/>
      <c r="D543" s="185"/>
      <c r="E543" s="185"/>
      <c r="F543" s="186" t="s">
        <v>244</v>
      </c>
      <c r="G543" s="213">
        <v>0.1</v>
      </c>
      <c r="H543" s="213">
        <f>'Folha Rosto Comp. P. Unit. '!D7</f>
        <v>2.56</v>
      </c>
      <c r="I543" s="200"/>
      <c r="J543" s="200"/>
      <c r="K543" s="201">
        <f>ROUND(G543*H543,2)</f>
        <v>0.26</v>
      </c>
    </row>
    <row r="544" spans="2:11" s="174" customFormat="1" ht="15" customHeight="1">
      <c r="B544" s="184"/>
      <c r="C544" s="185"/>
      <c r="D544" s="216" t="s">
        <v>246</v>
      </c>
      <c r="E544" s="185"/>
      <c r="F544" s="186"/>
      <c r="G544" s="229"/>
      <c r="H544" s="229"/>
      <c r="I544" s="230"/>
      <c r="J544" s="230"/>
      <c r="K544" s="231">
        <f>SUM(K542:K543)</f>
        <v>0.42000000000000004</v>
      </c>
    </row>
    <row r="545" spans="2:11" s="174" customFormat="1" ht="15" customHeight="1">
      <c r="B545" s="184" t="s">
        <v>393</v>
      </c>
      <c r="C545" s="185"/>
      <c r="D545" s="185"/>
      <c r="E545" s="185"/>
      <c r="F545" s="186" t="s">
        <v>244</v>
      </c>
      <c r="G545" s="343">
        <f>'Folha Rosto Comp. P. Unit. '!B4</f>
        <v>1.26</v>
      </c>
      <c r="H545" s="342"/>
      <c r="I545" s="234"/>
      <c r="J545" s="234"/>
      <c r="K545" s="344">
        <f>K544*G545</f>
        <v>0.5292</v>
      </c>
    </row>
    <row r="546" spans="2:11" s="174" customFormat="1" ht="15" customHeight="1">
      <c r="B546" s="184"/>
      <c r="C546" s="185"/>
      <c r="D546" s="185"/>
      <c r="E546" s="185"/>
      <c r="F546" s="185"/>
      <c r="G546" s="194" t="s">
        <v>248</v>
      </c>
      <c r="H546" s="195"/>
      <c r="I546" s="219"/>
      <c r="J546" s="219"/>
      <c r="K546" s="221">
        <f>SUM(K544:K545)</f>
        <v>0.94920000000000004</v>
      </c>
    </row>
    <row r="547" spans="2:11" s="174" customFormat="1" ht="15" customHeight="1">
      <c r="B547" s="438" t="s">
        <v>282</v>
      </c>
      <c r="C547" s="438"/>
      <c r="D547" s="438"/>
      <c r="E547" s="438"/>
      <c r="F547" s="222" t="s">
        <v>221</v>
      </c>
      <c r="G547" s="222" t="s">
        <v>394</v>
      </c>
      <c r="H547" s="222" t="s">
        <v>223</v>
      </c>
      <c r="I547" s="439" t="s">
        <v>224</v>
      </c>
      <c r="J547" s="439"/>
      <c r="K547" s="439"/>
    </row>
    <row r="548" spans="2:11" s="174" customFormat="1" ht="15" customHeight="1">
      <c r="B548" s="184" t="s">
        <v>429</v>
      </c>
      <c r="C548" s="185"/>
      <c r="D548" s="185"/>
      <c r="E548" s="243"/>
      <c r="F548" s="222" t="s">
        <v>241</v>
      </c>
      <c r="G548" s="222">
        <f>0.6*0.1*1.7+0.1*1.2*1.2</f>
        <v>0.246</v>
      </c>
      <c r="H548" s="290">
        <f>K619</f>
        <v>305.01480000000004</v>
      </c>
      <c r="I548" s="252"/>
      <c r="J548" s="210"/>
      <c r="K548" s="215">
        <f>ROUND(G548*H548,2)</f>
        <v>75.03</v>
      </c>
    </row>
    <row r="549" spans="2:11" s="174" customFormat="1" ht="15" customHeight="1">
      <c r="B549" s="184" t="s">
        <v>396</v>
      </c>
      <c r="C549" s="185"/>
      <c r="D549" s="210"/>
      <c r="E549" s="210"/>
      <c r="F549" s="198" t="s">
        <v>241</v>
      </c>
      <c r="G549" s="214">
        <f>G548*12</f>
        <v>2.952</v>
      </c>
      <c r="H549" s="214">
        <v>18.149999999999999</v>
      </c>
      <c r="I549" s="255"/>
      <c r="J549" s="256"/>
      <c r="K549" s="215">
        <f>ROUND(G549*H549,2)</f>
        <v>53.58</v>
      </c>
    </row>
    <row r="550" spans="2:11" s="174" customFormat="1" ht="15" customHeight="1">
      <c r="B550" s="184" t="s">
        <v>430</v>
      </c>
      <c r="C550" s="185"/>
      <c r="D550" s="185"/>
      <c r="E550" s="185"/>
      <c r="F550" s="186" t="s">
        <v>404</v>
      </c>
      <c r="G550" s="214">
        <f>G548*60</f>
        <v>14.76</v>
      </c>
      <c r="H550" s="214">
        <f>K696</f>
        <v>7.6341999999999999</v>
      </c>
      <c r="I550" s="276"/>
      <c r="J550" s="276"/>
      <c r="K550" s="215">
        <f>ROUND(G550*H550,2)</f>
        <v>112.68</v>
      </c>
    </row>
    <row r="551" spans="2:11" s="174" customFormat="1" ht="27" customHeight="1">
      <c r="B551" s="462" t="s">
        <v>431</v>
      </c>
      <c r="C551" s="462"/>
      <c r="D551" s="462"/>
      <c r="E551" s="462"/>
      <c r="F551" s="186" t="s">
        <v>219</v>
      </c>
      <c r="G551" s="214">
        <v>1</v>
      </c>
      <c r="H551" s="214">
        <v>1250</v>
      </c>
      <c r="I551" s="276"/>
      <c r="J551" s="276"/>
      <c r="K551" s="215">
        <f>ROUND(G551*H551,2)</f>
        <v>1250</v>
      </c>
    </row>
    <row r="552" spans="2:11" s="174" customFormat="1" ht="15" customHeight="1">
      <c r="B552" s="184"/>
      <c r="C552" s="185"/>
      <c r="D552" s="185"/>
      <c r="E552" s="185"/>
      <c r="F552" s="299"/>
      <c r="G552" s="248" t="s">
        <v>397</v>
      </c>
      <c r="H552" s="249"/>
      <c r="I552" s="398"/>
      <c r="J552" s="250"/>
      <c r="K552" s="221">
        <f>SUM(K548:K551)</f>
        <v>1491.29</v>
      </c>
    </row>
    <row r="553" spans="2:11" s="174" customFormat="1" ht="15" customHeight="1">
      <c r="B553" s="209" t="s">
        <v>398</v>
      </c>
      <c r="C553" s="210"/>
      <c r="D553" s="210"/>
      <c r="E553" s="210"/>
      <c r="F553" s="210"/>
      <c r="G553" s="210"/>
      <c r="H553" s="218"/>
      <c r="I553" s="210"/>
      <c r="J553" s="210"/>
      <c r="K553" s="258">
        <f>SUM(K546,K552)</f>
        <v>1492.2392</v>
      </c>
    </row>
    <row r="554" spans="2:11" s="174" customFormat="1" ht="15" customHeight="1">
      <c r="B554" s="209" t="s">
        <v>234</v>
      </c>
      <c r="C554" s="210"/>
      <c r="D554" s="203">
        <f>'Folha Rosto Comp. P. Unit. '!B5</f>
        <v>0.3</v>
      </c>
      <c r="E554" s="210"/>
      <c r="F554" s="210"/>
      <c r="G554" s="210"/>
      <c r="H554" s="218"/>
      <c r="I554" s="210"/>
      <c r="J554" s="185"/>
      <c r="K554" s="202">
        <f>K553*D554</f>
        <v>447.67176000000001</v>
      </c>
    </row>
    <row r="555" spans="2:11" s="174" customFormat="1" ht="15" customHeight="1">
      <c r="B555" s="436" t="s">
        <v>235</v>
      </c>
      <c r="C555" s="436"/>
      <c r="D555" s="436"/>
      <c r="E555" s="436"/>
      <c r="F555" s="436"/>
      <c r="G555" s="436"/>
      <c r="H555" s="436"/>
      <c r="I555" s="436"/>
      <c r="J555" s="436"/>
      <c r="K555" s="221">
        <f>SUM(K553:K554)</f>
        <v>1939.9109599999999</v>
      </c>
    </row>
    <row r="556" spans="2:11" s="174" customFormat="1" ht="15" customHeight="1">
      <c r="B556" s="260"/>
      <c r="C556" s="260"/>
      <c r="D556" s="260"/>
      <c r="E556" s="260"/>
      <c r="F556" s="260"/>
      <c r="G556" s="260"/>
      <c r="H556" s="260"/>
      <c r="I556" s="260"/>
      <c r="J556" s="260"/>
      <c r="K556" s="261"/>
    </row>
    <row r="557" spans="2:11" s="174" customFormat="1" ht="15" customHeight="1">
      <c r="B557" s="206">
        <v>33</v>
      </c>
      <c r="C557" s="295" t="s">
        <v>216</v>
      </c>
      <c r="D557" s="443" t="s">
        <v>432</v>
      </c>
      <c r="E557" s="443"/>
      <c r="F557" s="443"/>
      <c r="G557" s="443"/>
      <c r="H557" s="443"/>
      <c r="I557" s="443"/>
      <c r="J557" s="182" t="s">
        <v>218</v>
      </c>
      <c r="K557" s="242" t="s">
        <v>219</v>
      </c>
    </row>
    <row r="558" spans="2:11" s="174" customFormat="1" ht="15" customHeight="1">
      <c r="B558" s="444"/>
      <c r="C558" s="444"/>
      <c r="D558" s="444"/>
      <c r="E558" s="444"/>
      <c r="F558" s="186" t="s">
        <v>221</v>
      </c>
      <c r="G558" s="186" t="s">
        <v>222</v>
      </c>
      <c r="H558" s="186" t="s">
        <v>281</v>
      </c>
      <c r="I558" s="435" t="s">
        <v>228</v>
      </c>
      <c r="J558" s="435"/>
      <c r="K558" s="435"/>
    </row>
    <row r="559" spans="2:11" s="174" customFormat="1" ht="15" customHeight="1">
      <c r="B559" s="184" t="s">
        <v>245</v>
      </c>
      <c r="C559" s="185"/>
      <c r="D559" s="185"/>
      <c r="E559" s="243"/>
      <c r="F559" s="186" t="s">
        <v>244</v>
      </c>
      <c r="G559" s="213">
        <v>8</v>
      </c>
      <c r="H559" s="214">
        <f>'Folha Rosto Comp. P. Unit. '!D8</f>
        <v>1.64</v>
      </c>
      <c r="I559" s="191"/>
      <c r="J559" s="193"/>
      <c r="K559" s="215">
        <f>ROUND(G559*H559,2)</f>
        <v>13.12</v>
      </c>
    </row>
    <row r="560" spans="2:11" s="174" customFormat="1" ht="15" customHeight="1">
      <c r="B560" s="184"/>
      <c r="C560" s="185"/>
      <c r="D560" s="216" t="s">
        <v>246</v>
      </c>
      <c r="E560" s="243"/>
      <c r="F560" s="186"/>
      <c r="G560" s="229"/>
      <c r="H560" s="290"/>
      <c r="I560" s="399"/>
      <c r="J560" s="323"/>
      <c r="K560" s="400">
        <f>SUM(K559)</f>
        <v>13.12</v>
      </c>
    </row>
    <row r="561" spans="2:11" s="174" customFormat="1" ht="15" customHeight="1">
      <c r="B561" s="209" t="s">
        <v>354</v>
      </c>
      <c r="C561" s="210"/>
      <c r="D561" s="210"/>
      <c r="E561" s="211"/>
      <c r="F561" s="198"/>
      <c r="G561" s="401">
        <f>'Folha Rosto Comp. P. Unit. '!B4</f>
        <v>1.26</v>
      </c>
      <c r="H561" s="279"/>
      <c r="I561" s="307"/>
      <c r="J561" s="309"/>
      <c r="K561" s="357">
        <f>K560*G561</f>
        <v>16.531199999999998</v>
      </c>
    </row>
    <row r="562" spans="2:11" s="174" customFormat="1" ht="15" customHeight="1">
      <c r="B562" s="184"/>
      <c r="C562" s="185"/>
      <c r="D562" s="185"/>
      <c r="E562" s="185"/>
      <c r="F562" s="224"/>
      <c r="G562" s="194" t="s">
        <v>248</v>
      </c>
      <c r="H562" s="195"/>
      <c r="I562" s="196"/>
      <c r="J562" s="196"/>
      <c r="K562" s="221">
        <f>SUM(K560:K561)</f>
        <v>29.651199999999996</v>
      </c>
    </row>
    <row r="563" spans="2:11" s="174" customFormat="1" ht="15" customHeight="1">
      <c r="B563" s="438" t="s">
        <v>270</v>
      </c>
      <c r="C563" s="438"/>
      <c r="D563" s="438"/>
      <c r="E563" s="438"/>
      <c r="F563" s="186" t="s">
        <v>221</v>
      </c>
      <c r="G563" s="198" t="s">
        <v>301</v>
      </c>
      <c r="H563" s="198" t="s">
        <v>223</v>
      </c>
      <c r="I563" s="435" t="s">
        <v>228</v>
      </c>
      <c r="J563" s="435"/>
      <c r="K563" s="435"/>
    </row>
    <row r="564" spans="2:11" s="174" customFormat="1" ht="15" customHeight="1">
      <c r="B564" s="184" t="s">
        <v>433</v>
      </c>
      <c r="C564" s="193"/>
      <c r="D564" s="185"/>
      <c r="E564" s="243"/>
      <c r="F564" s="186" t="s">
        <v>316</v>
      </c>
      <c r="G564" s="213">
        <f>1*1*2</f>
        <v>2</v>
      </c>
      <c r="H564" s="213">
        <v>8.75</v>
      </c>
      <c r="I564" s="199"/>
      <c r="J564" s="200"/>
      <c r="K564" s="215">
        <f>ROUND(G564*H564,2)</f>
        <v>17.5</v>
      </c>
    </row>
    <row r="565" spans="2:11" s="174" customFormat="1" ht="15" customHeight="1">
      <c r="B565" s="227"/>
      <c r="C565" s="185"/>
      <c r="D565" s="185"/>
      <c r="E565" s="243"/>
      <c r="F565" s="186"/>
      <c r="G565" s="248" t="s">
        <v>306</v>
      </c>
      <c r="H565" s="402"/>
      <c r="I565" s="394"/>
      <c r="J565" s="394"/>
      <c r="K565" s="251">
        <f>SUM(K564:K564)</f>
        <v>17.5</v>
      </c>
    </row>
    <row r="566" spans="2:11" s="174" customFormat="1" ht="15" customHeight="1">
      <c r="B566" s="305" t="s">
        <v>434</v>
      </c>
      <c r="C566" s="278"/>
      <c r="D566" s="210"/>
      <c r="E566" s="210"/>
      <c r="F566" s="218"/>
      <c r="G566" s="210"/>
      <c r="H566" s="218"/>
      <c r="I566" s="210"/>
      <c r="J566" s="210"/>
      <c r="K566" s="258">
        <f>SUM(K562,K565)</f>
        <v>47.151199999999996</v>
      </c>
    </row>
    <row r="567" spans="2:11" s="174" customFormat="1" ht="15" customHeight="1">
      <c r="B567" s="349" t="s">
        <v>234</v>
      </c>
      <c r="C567" s="350"/>
      <c r="D567" s="351">
        <f>'Folha Rosto Comp. P. Unit. '!B5</f>
        <v>0.3</v>
      </c>
      <c r="E567" s="352"/>
      <c r="F567" s="353"/>
      <c r="G567" s="352"/>
      <c r="H567" s="353"/>
      <c r="I567" s="352"/>
      <c r="J567" s="172"/>
      <c r="K567" s="202">
        <f>ROUND(K566*D567,2)</f>
        <v>14.15</v>
      </c>
    </row>
    <row r="568" spans="2:11" s="174" customFormat="1" ht="15" customHeight="1">
      <c r="B568" s="436" t="s">
        <v>235</v>
      </c>
      <c r="C568" s="436"/>
      <c r="D568" s="436"/>
      <c r="E568" s="436"/>
      <c r="F568" s="436"/>
      <c r="G568" s="436"/>
      <c r="H568" s="436"/>
      <c r="I568" s="436"/>
      <c r="J568" s="436"/>
      <c r="K568" s="221">
        <f>SUM(K566:K567)</f>
        <v>61.301199999999994</v>
      </c>
    </row>
    <row r="569" spans="2:11" s="174" customFormat="1" ht="15" customHeight="1">
      <c r="B569" s="320"/>
      <c r="C569" s="195"/>
      <c r="D569" s="195"/>
      <c r="E569" s="195"/>
      <c r="F569" s="195"/>
      <c r="G569" s="195"/>
      <c r="H569" s="195"/>
      <c r="I569" s="195"/>
      <c r="J569" s="259"/>
      <c r="K569" s="403"/>
    </row>
    <row r="570" spans="2:11" s="174" customFormat="1" ht="15" customHeight="1">
      <c r="B570" s="206">
        <v>34</v>
      </c>
      <c r="C570" s="195" t="s">
        <v>401</v>
      </c>
      <c r="D570" s="458" t="s">
        <v>435</v>
      </c>
      <c r="E570" s="458"/>
      <c r="F570" s="458"/>
      <c r="G570" s="458"/>
      <c r="H570" s="458"/>
      <c r="I570" s="458"/>
      <c r="J570" s="241" t="s">
        <v>218</v>
      </c>
      <c r="K570" s="242" t="s">
        <v>219</v>
      </c>
    </row>
    <row r="571" spans="2:11" s="174" customFormat="1" ht="15" customHeight="1">
      <c r="B571" s="184" t="s">
        <v>220</v>
      </c>
      <c r="C571" s="185"/>
      <c r="D571" s="185"/>
      <c r="E571" s="243"/>
      <c r="F571" s="186" t="s">
        <v>221</v>
      </c>
      <c r="G571" s="186" t="s">
        <v>222</v>
      </c>
      <c r="H571" s="186" t="s">
        <v>223</v>
      </c>
      <c r="I571" s="434" t="s">
        <v>224</v>
      </c>
      <c r="J571" s="434"/>
      <c r="K571" s="434"/>
    </row>
    <row r="572" spans="2:11" s="174" customFormat="1" ht="15" customHeight="1">
      <c r="B572" s="184" t="s">
        <v>245</v>
      </c>
      <c r="C572" s="185"/>
      <c r="D572" s="185"/>
      <c r="E572" s="185"/>
      <c r="F572" s="186" t="s">
        <v>244</v>
      </c>
      <c r="G572" s="213">
        <v>0.48</v>
      </c>
      <c r="H572" s="214">
        <f>'Folha Rosto Comp. P. Unit. '!D8</f>
        <v>1.64</v>
      </c>
      <c r="I572" s="200"/>
      <c r="J572" s="200"/>
      <c r="K572" s="215">
        <f>ROUND(G572*H572,2)</f>
        <v>0.79</v>
      </c>
    </row>
    <row r="573" spans="2:11" s="174" customFormat="1" ht="15" customHeight="1">
      <c r="B573" s="184"/>
      <c r="C573" s="185"/>
      <c r="D573" s="185"/>
      <c r="E573" s="185"/>
      <c r="F573" s="186"/>
      <c r="G573" s="213"/>
      <c r="H573" s="214"/>
      <c r="I573" s="200"/>
      <c r="J573" s="200"/>
      <c r="K573" s="404">
        <f>ROUND(G573*H573,2)</f>
        <v>0</v>
      </c>
    </row>
    <row r="574" spans="2:11" s="174" customFormat="1" ht="15" customHeight="1">
      <c r="B574" s="184"/>
      <c r="C574" s="185"/>
      <c r="D574" s="216" t="s">
        <v>246</v>
      </c>
      <c r="E574" s="185"/>
      <c r="F574" s="186"/>
      <c r="G574" s="213"/>
      <c r="H574" s="213"/>
      <c r="I574" s="200"/>
      <c r="J574" s="200"/>
      <c r="K574" s="201">
        <f>SUM(K572:K573)</f>
        <v>0.79</v>
      </c>
    </row>
    <row r="575" spans="2:11" s="174" customFormat="1" ht="15" customHeight="1">
      <c r="B575" s="184" t="s">
        <v>393</v>
      </c>
      <c r="C575" s="185"/>
      <c r="D575" s="185"/>
      <c r="E575" s="185"/>
      <c r="F575" s="299"/>
      <c r="G575" s="217">
        <f>'Folha Rosto Comp. P. Unit. '!B4</f>
        <v>1.26</v>
      </c>
      <c r="H575" s="186"/>
      <c r="I575" s="185"/>
      <c r="J575" s="185"/>
      <c r="K575" s="201">
        <f>K574*G575</f>
        <v>0.99540000000000006</v>
      </c>
    </row>
    <row r="576" spans="2:11" s="174" customFormat="1" ht="15" customHeight="1">
      <c r="B576" s="209"/>
      <c r="C576" s="210"/>
      <c r="D576" s="210"/>
      <c r="E576" s="210"/>
      <c r="F576" s="210"/>
      <c r="G576" s="194" t="s">
        <v>248</v>
      </c>
      <c r="H576" s="195"/>
      <c r="I576" s="383"/>
      <c r="J576" s="219"/>
      <c r="K576" s="384">
        <f>SUM(K574:K575)</f>
        <v>1.7854000000000001</v>
      </c>
    </row>
    <row r="577" spans="2:11" s="174" customFormat="1" ht="15" customHeight="1">
      <c r="B577" s="438" t="s">
        <v>270</v>
      </c>
      <c r="C577" s="438"/>
      <c r="D577" s="438"/>
      <c r="E577" s="438"/>
      <c r="F577" s="198" t="s">
        <v>221</v>
      </c>
      <c r="G577" s="198" t="s">
        <v>338</v>
      </c>
      <c r="H577" s="198" t="s">
        <v>223</v>
      </c>
      <c r="I577" s="435" t="s">
        <v>224</v>
      </c>
      <c r="J577" s="435"/>
      <c r="K577" s="435"/>
    </row>
    <row r="578" spans="2:11" s="174" customFormat="1" ht="15" customHeight="1">
      <c r="B578" s="184"/>
      <c r="C578" s="185"/>
      <c r="D578" s="185"/>
      <c r="E578" s="185"/>
      <c r="F578" s="198"/>
      <c r="G578" s="214"/>
      <c r="H578" s="214"/>
      <c r="I578" s="255"/>
      <c r="J578" s="256"/>
      <c r="K578" s="404">
        <f t="shared" ref="K578:K583" si="1">ROUND(G578*H578,2)</f>
        <v>0</v>
      </c>
    </row>
    <row r="579" spans="2:11" s="174" customFormat="1" ht="15" customHeight="1">
      <c r="B579" s="184" t="s">
        <v>337</v>
      </c>
      <c r="C579" s="185"/>
      <c r="D579" s="185"/>
      <c r="E579" s="185"/>
      <c r="F579" s="198" t="s">
        <v>316</v>
      </c>
      <c r="G579" s="214"/>
      <c r="H579" s="214"/>
      <c r="I579" s="255"/>
      <c r="J579" s="256"/>
      <c r="K579" s="404">
        <f t="shared" si="1"/>
        <v>0</v>
      </c>
    </row>
    <row r="580" spans="2:11" s="174" customFormat="1" ht="15" customHeight="1">
      <c r="B580" s="184"/>
      <c r="C580" s="185"/>
      <c r="D580" s="185"/>
      <c r="E580" s="185"/>
      <c r="F580" s="198"/>
      <c r="G580" s="214"/>
      <c r="H580" s="214"/>
      <c r="I580" s="255"/>
      <c r="J580" s="256"/>
      <c r="K580" s="404">
        <f t="shared" si="1"/>
        <v>0</v>
      </c>
    </row>
    <row r="581" spans="2:11" s="174" customFormat="1" ht="15" customHeight="1">
      <c r="B581" s="184"/>
      <c r="C581" s="185"/>
      <c r="D581" s="185"/>
      <c r="E581" s="185"/>
      <c r="F581" s="198"/>
      <c r="G581" s="214"/>
      <c r="H581" s="214"/>
      <c r="I581" s="255"/>
      <c r="J581" s="256"/>
      <c r="K581" s="404">
        <f t="shared" si="1"/>
        <v>0</v>
      </c>
    </row>
    <row r="582" spans="2:11" s="174" customFormat="1" ht="15" customHeight="1">
      <c r="B582" s="184"/>
      <c r="C582" s="185"/>
      <c r="D582" s="185"/>
      <c r="E582" s="211"/>
      <c r="F582" s="222"/>
      <c r="G582" s="405"/>
      <c r="H582" s="325"/>
      <c r="I582" s="199"/>
      <c r="J582" s="200"/>
      <c r="K582" s="404">
        <f t="shared" si="1"/>
        <v>0</v>
      </c>
    </row>
    <row r="583" spans="2:11" s="174" customFormat="1" ht="15" customHeight="1">
      <c r="B583" s="321"/>
      <c r="C583" s="309"/>
      <c r="D583" s="309"/>
      <c r="E583" s="354"/>
      <c r="F583" s="279"/>
      <c r="G583" s="355"/>
      <c r="H583" s="406"/>
      <c r="I583" s="312"/>
      <c r="J583" s="407"/>
      <c r="K583" s="408">
        <f t="shared" si="1"/>
        <v>0</v>
      </c>
    </row>
    <row r="584" spans="2:11" s="174" customFormat="1" ht="15" customHeight="1">
      <c r="B584" s="209" t="s">
        <v>231</v>
      </c>
      <c r="C584" s="210"/>
      <c r="D584" s="210"/>
      <c r="E584" s="210"/>
      <c r="F584" s="210"/>
      <c r="G584" s="194" t="s">
        <v>232</v>
      </c>
      <c r="H584" s="195"/>
      <c r="I584" s="388"/>
      <c r="J584" s="389"/>
      <c r="K584" s="384">
        <f>SUM(K578:K583)</f>
        <v>0</v>
      </c>
    </row>
    <row r="585" spans="2:11" s="174" customFormat="1" ht="15" customHeight="1">
      <c r="B585" s="209" t="s">
        <v>377</v>
      </c>
      <c r="C585" s="210"/>
      <c r="D585" s="210"/>
      <c r="E585" s="210"/>
      <c r="F585" s="210"/>
      <c r="G585" s="210"/>
      <c r="H585" s="218"/>
      <c r="I585" s="210"/>
      <c r="J585" s="210"/>
      <c r="K585" s="396">
        <f>SUM(K576+K584)</f>
        <v>1.7854000000000001</v>
      </c>
    </row>
    <row r="586" spans="2:11" s="174" customFormat="1" ht="15" customHeight="1">
      <c r="B586" s="209" t="s">
        <v>234</v>
      </c>
      <c r="C586" s="210"/>
      <c r="D586" s="203">
        <f>'Folha Rosto Comp. P. Unit. '!B5</f>
        <v>0.3</v>
      </c>
      <c r="E586" s="210"/>
      <c r="F586" s="210"/>
      <c r="G586" s="210"/>
      <c r="H586" s="218"/>
      <c r="I586" s="210"/>
      <c r="J586" s="185"/>
      <c r="K586" s="390">
        <f>ROUND(K585*D586,2)</f>
        <v>0.54</v>
      </c>
    </row>
    <row r="587" spans="2:11" s="174" customFormat="1" ht="15" customHeight="1">
      <c r="B587" s="436" t="s">
        <v>235</v>
      </c>
      <c r="C587" s="436"/>
      <c r="D587" s="436"/>
      <c r="E587" s="436"/>
      <c r="F587" s="436"/>
      <c r="G587" s="436"/>
      <c r="H587" s="436"/>
      <c r="I587" s="436"/>
      <c r="J587" s="436"/>
      <c r="K587" s="384">
        <f>SUM(K585:K586)</f>
        <v>2.3254000000000001</v>
      </c>
    </row>
    <row r="588" spans="2:11" s="174" customFormat="1" ht="15" customHeight="1">
      <c r="B588" s="195"/>
      <c r="C588" s="195"/>
      <c r="D588" s="195"/>
      <c r="E588" s="195"/>
      <c r="F588" s="195"/>
      <c r="G588" s="195"/>
      <c r="H588" s="195"/>
      <c r="I588" s="195"/>
      <c r="J588" s="259"/>
      <c r="K588" s="409"/>
    </row>
    <row r="589" spans="2:11" s="174" customFormat="1" ht="15" customHeight="1">
      <c r="B589" s="206">
        <v>35</v>
      </c>
      <c r="C589" s="295" t="s">
        <v>216</v>
      </c>
      <c r="D589" s="443" t="s">
        <v>436</v>
      </c>
      <c r="E589" s="443"/>
      <c r="F589" s="443"/>
      <c r="G589" s="443"/>
      <c r="H589" s="443"/>
      <c r="I589" s="443"/>
      <c r="J589" s="296" t="s">
        <v>218</v>
      </c>
      <c r="K589" s="297" t="s">
        <v>316</v>
      </c>
    </row>
    <row r="590" spans="2:11" s="174" customFormat="1" ht="15" customHeight="1">
      <c r="B590" s="410" t="s">
        <v>220</v>
      </c>
      <c r="C590" s="411"/>
      <c r="D590" s="374"/>
      <c r="E590" s="358"/>
      <c r="F590" s="270" t="s">
        <v>221</v>
      </c>
      <c r="G590" s="270" t="s">
        <v>222</v>
      </c>
      <c r="H590" s="270" t="s">
        <v>281</v>
      </c>
      <c r="I590" s="435" t="s">
        <v>224</v>
      </c>
      <c r="J590" s="435"/>
      <c r="K590" s="435"/>
    </row>
    <row r="591" spans="2:11" s="174" customFormat="1" ht="15" customHeight="1">
      <c r="B591" s="184" t="s">
        <v>373</v>
      </c>
      <c r="C591" s="185"/>
      <c r="D591" s="185"/>
      <c r="E591" s="243"/>
      <c r="F591" s="186" t="s">
        <v>244</v>
      </c>
      <c r="G591" s="213">
        <v>2.6</v>
      </c>
      <c r="H591" s="213">
        <f>'Folha Rosto Comp. P. Unit. '!D7</f>
        <v>2.56</v>
      </c>
      <c r="I591" s="199"/>
      <c r="J591" s="200"/>
      <c r="K591" s="231">
        <f>ROUND(G591*H591,2)</f>
        <v>6.66</v>
      </c>
    </row>
    <row r="592" spans="2:11" s="174" customFormat="1" ht="15" customHeight="1">
      <c r="B592" s="184" t="s">
        <v>245</v>
      </c>
      <c r="C592" s="185"/>
      <c r="D592" s="185"/>
      <c r="E592" s="243"/>
      <c r="F592" s="186" t="s">
        <v>244</v>
      </c>
      <c r="G592" s="213">
        <v>13</v>
      </c>
      <c r="H592" s="213">
        <f>'Folha Rosto Comp. P. Unit. '!D8</f>
        <v>1.64</v>
      </c>
      <c r="I592" s="199"/>
      <c r="J592" s="200"/>
      <c r="K592" s="215">
        <f>ROUND(G592*H592,2)</f>
        <v>21.32</v>
      </c>
    </row>
    <row r="593" spans="2:11" s="174" customFormat="1" ht="15" customHeight="1">
      <c r="B593" s="184"/>
      <c r="C593" s="185"/>
      <c r="D593" s="216" t="s">
        <v>246</v>
      </c>
      <c r="E593" s="243"/>
      <c r="F593" s="186"/>
      <c r="G593" s="213"/>
      <c r="H593" s="213"/>
      <c r="I593" s="199"/>
      <c r="J593" s="200"/>
      <c r="K593" s="201">
        <f>SUM(K591:K592)</f>
        <v>27.98</v>
      </c>
    </row>
    <row r="594" spans="2:11" s="174" customFormat="1" ht="15" customHeight="1">
      <c r="B594" s="184" t="s">
        <v>354</v>
      </c>
      <c r="C594" s="185"/>
      <c r="D594" s="185"/>
      <c r="E594" s="243"/>
      <c r="F594" s="186"/>
      <c r="G594" s="217">
        <f>'Folha Rosto Comp. P. Unit. '!B4</f>
        <v>1.26</v>
      </c>
      <c r="H594" s="186"/>
      <c r="I594" s="189"/>
      <c r="J594" s="185"/>
      <c r="K594" s="201">
        <f>K593*G594</f>
        <v>35.254800000000003</v>
      </c>
    </row>
    <row r="595" spans="2:11" s="174" customFormat="1" ht="15" customHeight="1">
      <c r="B595" s="209"/>
      <c r="C595" s="210"/>
      <c r="D595" s="210"/>
      <c r="E595" s="210"/>
      <c r="F595" s="232"/>
      <c r="G595" s="194" t="s">
        <v>248</v>
      </c>
      <c r="H595" s="195"/>
      <c r="I595" s="196"/>
      <c r="J595" s="196"/>
      <c r="K595" s="221">
        <f>SUM(K593:K594)</f>
        <v>63.234800000000007</v>
      </c>
    </row>
    <row r="596" spans="2:11" s="174" customFormat="1" ht="15" customHeight="1">
      <c r="B596" s="438" t="s">
        <v>270</v>
      </c>
      <c r="C596" s="438"/>
      <c r="D596" s="438"/>
      <c r="E596" s="438"/>
      <c r="F596" s="186" t="s">
        <v>221</v>
      </c>
      <c r="G596" s="186" t="s">
        <v>301</v>
      </c>
      <c r="H596" s="186" t="s">
        <v>223</v>
      </c>
      <c r="I596" s="434" t="s">
        <v>224</v>
      </c>
      <c r="J596" s="434"/>
      <c r="K596" s="434"/>
    </row>
    <row r="597" spans="2:11" s="174" customFormat="1" ht="15" customHeight="1">
      <c r="B597" s="184" t="s">
        <v>374</v>
      </c>
      <c r="C597" s="185"/>
      <c r="D597" s="185"/>
      <c r="E597" s="243"/>
      <c r="F597" s="186" t="s">
        <v>375</v>
      </c>
      <c r="G597" s="213">
        <v>5</v>
      </c>
      <c r="H597" s="213">
        <v>18</v>
      </c>
      <c r="I597" s="199"/>
      <c r="J597" s="200"/>
      <c r="K597" s="215">
        <f>ROUND(G597*H597,2)</f>
        <v>90</v>
      </c>
    </row>
    <row r="598" spans="2:11" s="174" customFormat="1" ht="15" customHeight="1">
      <c r="B598" s="184" t="s">
        <v>371</v>
      </c>
      <c r="C598" s="185"/>
      <c r="D598" s="185"/>
      <c r="E598" s="243"/>
      <c r="F598" s="186" t="s">
        <v>316</v>
      </c>
      <c r="G598" s="213">
        <v>0.65</v>
      </c>
      <c r="H598" s="213">
        <v>20</v>
      </c>
      <c r="I598" s="199"/>
      <c r="J598" s="200"/>
      <c r="K598" s="215">
        <f>ROUND(G598*H598,2)</f>
        <v>13</v>
      </c>
    </row>
    <row r="599" spans="2:11" s="174" customFormat="1" ht="15" customHeight="1">
      <c r="B599" s="184" t="s">
        <v>376</v>
      </c>
      <c r="C599" s="185"/>
      <c r="D599" s="185"/>
      <c r="E599" s="243"/>
      <c r="F599" s="186" t="s">
        <v>316</v>
      </c>
      <c r="G599" s="213">
        <v>0.9</v>
      </c>
      <c r="H599" s="213">
        <v>50</v>
      </c>
      <c r="I599" s="199"/>
      <c r="J599" s="200"/>
      <c r="K599" s="215">
        <f>ROUND(G599*H599,2)</f>
        <v>45</v>
      </c>
    </row>
    <row r="600" spans="2:11" s="174" customFormat="1" ht="15" customHeight="1">
      <c r="B600" s="184"/>
      <c r="C600" s="185"/>
      <c r="D600" s="185"/>
      <c r="E600" s="243"/>
      <c r="F600" s="186"/>
      <c r="G600" s="194" t="s">
        <v>306</v>
      </c>
      <c r="H600" s="302"/>
      <c r="I600" s="196"/>
      <c r="J600" s="196"/>
      <c r="K600" s="221">
        <f>SUM(K597:K599)</f>
        <v>148</v>
      </c>
    </row>
    <row r="601" spans="2:11" s="174" customFormat="1" ht="15" customHeight="1">
      <c r="B601" s="209" t="s">
        <v>377</v>
      </c>
      <c r="C601" s="278"/>
      <c r="D601" s="210"/>
      <c r="E601" s="210"/>
      <c r="F601" s="218"/>
      <c r="G601" s="210"/>
      <c r="H601" s="218"/>
      <c r="I601" s="210"/>
      <c r="J601" s="210"/>
      <c r="K601" s="258">
        <f>SUM(K595+K600)</f>
        <v>211.23480000000001</v>
      </c>
    </row>
    <row r="602" spans="2:11" s="174" customFormat="1" ht="15" customHeight="1">
      <c r="B602" s="349" t="s">
        <v>234</v>
      </c>
      <c r="C602" s="350"/>
      <c r="D602" s="351">
        <f>'Folha Rosto Comp. P. Unit. '!B5</f>
        <v>0.3</v>
      </c>
      <c r="E602" s="352"/>
      <c r="F602" s="353"/>
      <c r="G602" s="352"/>
      <c r="H602" s="353"/>
      <c r="I602" s="352"/>
      <c r="J602" s="172"/>
      <c r="K602" s="202">
        <f>ROUND(K601*D602,2)</f>
        <v>63.37</v>
      </c>
    </row>
    <row r="603" spans="2:11" s="174" customFormat="1" ht="15" customHeight="1">
      <c r="B603" s="436" t="s">
        <v>235</v>
      </c>
      <c r="C603" s="436"/>
      <c r="D603" s="436"/>
      <c r="E603" s="436"/>
      <c r="F603" s="436"/>
      <c r="G603" s="436"/>
      <c r="H603" s="436"/>
      <c r="I603" s="436"/>
      <c r="J603" s="436"/>
      <c r="K603" s="221">
        <f>SUM(K601:K602)</f>
        <v>274.60480000000001</v>
      </c>
    </row>
    <row r="604" spans="2:11" s="174" customFormat="1" ht="15" customHeight="1">
      <c r="F604" s="176"/>
      <c r="H604" s="176"/>
      <c r="K604" s="177"/>
    </row>
    <row r="605" spans="2:11" s="174" customFormat="1" ht="15" customHeight="1">
      <c r="B605" s="206">
        <v>36</v>
      </c>
      <c r="C605" s="295" t="s">
        <v>216</v>
      </c>
      <c r="D605" s="443" t="s">
        <v>437</v>
      </c>
      <c r="E605" s="443"/>
      <c r="F605" s="443"/>
      <c r="G605" s="443"/>
      <c r="H605" s="443"/>
      <c r="I605" s="443"/>
      <c r="J605" s="296" t="s">
        <v>218</v>
      </c>
      <c r="K605" s="297" t="s">
        <v>316</v>
      </c>
    </row>
    <row r="606" spans="2:11" s="174" customFormat="1" ht="15" customHeight="1">
      <c r="B606" s="298" t="s">
        <v>220</v>
      </c>
      <c r="C606" s="299"/>
      <c r="D606" s="189"/>
      <c r="E606" s="243"/>
      <c r="F606" s="186" t="s">
        <v>221</v>
      </c>
      <c r="G606" s="186" t="s">
        <v>222</v>
      </c>
      <c r="H606" s="186" t="s">
        <v>281</v>
      </c>
      <c r="I606" s="434" t="s">
        <v>224</v>
      </c>
      <c r="J606" s="434"/>
      <c r="K606" s="434"/>
    </row>
    <row r="607" spans="2:11" s="174" customFormat="1" ht="15" customHeight="1">
      <c r="B607" s="209" t="s">
        <v>373</v>
      </c>
      <c r="C607" s="210"/>
      <c r="D607" s="210"/>
      <c r="E607" s="211"/>
      <c r="F607" s="198" t="s">
        <v>244</v>
      </c>
      <c r="G607" s="214">
        <v>2.6</v>
      </c>
      <c r="H607" s="214">
        <f>'Folha Rosto Comp. P. Unit. '!D7</f>
        <v>2.56</v>
      </c>
      <c r="I607" s="255"/>
      <c r="J607" s="256"/>
      <c r="K607" s="231">
        <f>ROUND(G607*H607,2)</f>
        <v>6.66</v>
      </c>
    </row>
    <row r="608" spans="2:11" s="174" customFormat="1" ht="15" customHeight="1">
      <c r="B608" s="184" t="s">
        <v>245</v>
      </c>
      <c r="C608" s="185"/>
      <c r="D608" s="185"/>
      <c r="E608" s="243"/>
      <c r="F608" s="186" t="s">
        <v>244</v>
      </c>
      <c r="G608" s="213">
        <v>13</v>
      </c>
      <c r="H608" s="213">
        <f>'Folha Rosto Comp. P. Unit. '!D8</f>
        <v>1.64</v>
      </c>
      <c r="I608" s="199"/>
      <c r="J608" s="200"/>
      <c r="K608" s="215">
        <f>ROUND(G608*H608,2)</f>
        <v>21.32</v>
      </c>
    </row>
    <row r="609" spans="2:11" s="174" customFormat="1" ht="15" customHeight="1">
      <c r="B609" s="184"/>
      <c r="C609" s="185"/>
      <c r="D609" s="216" t="s">
        <v>246</v>
      </c>
      <c r="E609" s="243"/>
      <c r="F609" s="186"/>
      <c r="G609" s="213"/>
      <c r="H609" s="213"/>
      <c r="I609" s="199"/>
      <c r="J609" s="200"/>
      <c r="K609" s="201">
        <f>SUM(K607:K608)</f>
        <v>27.98</v>
      </c>
    </row>
    <row r="610" spans="2:11" s="174" customFormat="1" ht="15" customHeight="1">
      <c r="B610" s="184" t="s">
        <v>354</v>
      </c>
      <c r="C610" s="185"/>
      <c r="D610" s="185"/>
      <c r="E610" s="243"/>
      <c r="F610" s="186"/>
      <c r="G610" s="217">
        <f>'Folha Rosto Comp. P. Unit. '!B4</f>
        <v>1.26</v>
      </c>
      <c r="H610" s="186"/>
      <c r="I610" s="189"/>
      <c r="J610" s="185"/>
      <c r="K610" s="201">
        <f>K609*G610</f>
        <v>35.254800000000003</v>
      </c>
    </row>
    <row r="611" spans="2:11" s="174" customFormat="1" ht="15" customHeight="1">
      <c r="B611" s="209"/>
      <c r="C611" s="210"/>
      <c r="D611" s="210"/>
      <c r="E611" s="210"/>
      <c r="F611" s="218"/>
      <c r="G611" s="194" t="s">
        <v>248</v>
      </c>
      <c r="H611" s="195"/>
      <c r="I611" s="196"/>
      <c r="J611" s="196"/>
      <c r="K611" s="221">
        <f>SUM(K609:K610)</f>
        <v>63.234800000000007</v>
      </c>
    </row>
    <row r="612" spans="2:11" s="174" customFormat="1" ht="15" customHeight="1">
      <c r="B612" s="438" t="s">
        <v>270</v>
      </c>
      <c r="C612" s="438"/>
      <c r="D612" s="438"/>
      <c r="E612" s="438"/>
      <c r="F612" s="198" t="s">
        <v>438</v>
      </c>
      <c r="G612" s="198" t="s">
        <v>301</v>
      </c>
      <c r="H612" s="198" t="s">
        <v>223</v>
      </c>
      <c r="I612" s="435" t="s">
        <v>224</v>
      </c>
      <c r="J612" s="435"/>
      <c r="K612" s="435"/>
    </row>
    <row r="613" spans="2:11" s="174" customFormat="1" ht="15" customHeight="1">
      <c r="B613" s="184" t="s">
        <v>374</v>
      </c>
      <c r="C613" s="185"/>
      <c r="D613" s="185"/>
      <c r="E613" s="243"/>
      <c r="F613" s="186" t="s">
        <v>375</v>
      </c>
      <c r="G613" s="213">
        <v>6.3</v>
      </c>
      <c r="H613" s="213">
        <v>18</v>
      </c>
      <c r="I613" s="199"/>
      <c r="J613" s="200"/>
      <c r="K613" s="215">
        <f>ROUND(G613*H613,2)</f>
        <v>113.4</v>
      </c>
    </row>
    <row r="614" spans="2:11" s="174" customFormat="1" ht="15" customHeight="1">
      <c r="B614" s="209" t="s">
        <v>371</v>
      </c>
      <c r="C614" s="210"/>
      <c r="D614" s="210"/>
      <c r="E614" s="211"/>
      <c r="F614" s="198" t="s">
        <v>316</v>
      </c>
      <c r="G614" s="214">
        <v>0.7</v>
      </c>
      <c r="H614" s="214">
        <v>20</v>
      </c>
      <c r="I614" s="255"/>
      <c r="J614" s="256"/>
      <c r="K614" s="215">
        <f>ROUND(G614*H614,2)</f>
        <v>14</v>
      </c>
    </row>
    <row r="615" spans="2:11" s="174" customFormat="1" ht="15" customHeight="1">
      <c r="B615" s="184" t="s">
        <v>376</v>
      </c>
      <c r="C615" s="185"/>
      <c r="D615" s="185"/>
      <c r="E615" s="243"/>
      <c r="F615" s="186" t="s">
        <v>316</v>
      </c>
      <c r="G615" s="213">
        <v>0.88</v>
      </c>
      <c r="H615" s="213">
        <v>50</v>
      </c>
      <c r="I615" s="199"/>
      <c r="J615" s="200"/>
      <c r="K615" s="201">
        <f>ROUND(G615*H615,2)</f>
        <v>44</v>
      </c>
    </row>
    <row r="616" spans="2:11" s="174" customFormat="1" ht="15" customHeight="1">
      <c r="B616" s="184"/>
      <c r="C616" s="185"/>
      <c r="D616" s="185"/>
      <c r="E616" s="243"/>
      <c r="F616" s="186"/>
      <c r="G616" s="194" t="s">
        <v>306</v>
      </c>
      <c r="H616" s="302"/>
      <c r="I616" s="196"/>
      <c r="J616" s="196"/>
      <c r="K616" s="221">
        <f>SUM(K613:K615)</f>
        <v>171.4</v>
      </c>
    </row>
    <row r="617" spans="2:11" s="174" customFormat="1" ht="15" customHeight="1">
      <c r="B617" s="209" t="s">
        <v>377</v>
      </c>
      <c r="C617" s="278"/>
      <c r="D617" s="210"/>
      <c r="E617" s="210"/>
      <c r="F617" s="218"/>
      <c r="G617" s="210"/>
      <c r="H617" s="218"/>
      <c r="I617" s="210"/>
      <c r="J617" s="210"/>
      <c r="K617" s="258">
        <f>SUM(K611,K616)</f>
        <v>234.63480000000001</v>
      </c>
    </row>
    <row r="618" spans="2:11" s="174" customFormat="1" ht="15" customHeight="1">
      <c r="B618" s="349" t="s">
        <v>234</v>
      </c>
      <c r="C618" s="350"/>
      <c r="D618" s="351">
        <f>'Folha Rosto Comp. P. Unit. '!B5</f>
        <v>0.3</v>
      </c>
      <c r="E618" s="352"/>
      <c r="F618" s="353"/>
      <c r="G618" s="352"/>
      <c r="H618" s="353"/>
      <c r="I618" s="352"/>
      <c r="J618" s="172"/>
      <c r="K618" s="202">
        <f>ROUND(K617*D618,2)</f>
        <v>70.39</v>
      </c>
    </row>
    <row r="619" spans="2:11" s="174" customFormat="1" ht="15" customHeight="1">
      <c r="B619" s="436" t="s">
        <v>235</v>
      </c>
      <c r="C619" s="436"/>
      <c r="D619" s="436"/>
      <c r="E619" s="436"/>
      <c r="F619" s="436"/>
      <c r="G619" s="436"/>
      <c r="H619" s="436"/>
      <c r="I619" s="436"/>
      <c r="J619" s="436"/>
      <c r="K619" s="221">
        <f>SUM(K617:K618)-0.01</f>
        <v>305.01480000000004</v>
      </c>
    </row>
    <row r="620" spans="2:11" s="174" customFormat="1" ht="15" customHeight="1">
      <c r="B620" s="236"/>
      <c r="C620" s="236"/>
      <c r="D620" s="236"/>
      <c r="E620" s="236"/>
      <c r="F620" s="237"/>
      <c r="G620" s="236"/>
      <c r="H620" s="237"/>
      <c r="I620" s="236"/>
      <c r="J620" s="236"/>
      <c r="K620" s="412"/>
    </row>
    <row r="621" spans="2:11" s="174" customFormat="1" ht="15" customHeight="1">
      <c r="B621" s="206">
        <v>37</v>
      </c>
      <c r="C621" s="196" t="s">
        <v>344</v>
      </c>
      <c r="D621" s="207" t="s">
        <v>439</v>
      </c>
      <c r="E621" s="196"/>
      <c r="F621" s="196"/>
      <c r="G621" s="196"/>
      <c r="H621" s="195"/>
      <c r="I621" s="207"/>
      <c r="J621" s="182" t="s">
        <v>218</v>
      </c>
      <c r="K621" s="242" t="s">
        <v>241</v>
      </c>
    </row>
    <row r="622" spans="2:11" s="174" customFormat="1" ht="15" customHeight="1">
      <c r="B622" s="184" t="s">
        <v>220</v>
      </c>
      <c r="C622" s="185"/>
      <c r="D622" s="185"/>
      <c r="E622" s="243"/>
      <c r="F622" s="186" t="s">
        <v>221</v>
      </c>
      <c r="G622" s="186" t="s">
        <v>222</v>
      </c>
      <c r="H622" s="223" t="s">
        <v>223</v>
      </c>
      <c r="I622" s="434" t="s">
        <v>228</v>
      </c>
      <c r="J622" s="434"/>
      <c r="K622" s="434"/>
    </row>
    <row r="623" spans="2:11" s="174" customFormat="1" ht="15" customHeight="1">
      <c r="B623" s="184" t="s">
        <v>243</v>
      </c>
      <c r="C623" s="185"/>
      <c r="D623" s="185"/>
      <c r="E623" s="185"/>
      <c r="F623" s="186" t="s">
        <v>244</v>
      </c>
      <c r="G623" s="213">
        <v>1.3</v>
      </c>
      <c r="H623" s="214">
        <f>'Folha Rosto Comp. P. Unit. '!D7</f>
        <v>2.56</v>
      </c>
      <c r="I623" s="200"/>
      <c r="J623" s="200"/>
      <c r="K623" s="215">
        <f>ROUND(G623*H623,2)</f>
        <v>3.33</v>
      </c>
    </row>
    <row r="624" spans="2:11" s="174" customFormat="1" ht="15" customHeight="1">
      <c r="B624" s="184" t="s">
        <v>245</v>
      </c>
      <c r="C624" s="185"/>
      <c r="D624" s="185"/>
      <c r="E624" s="185"/>
      <c r="F624" s="186" t="s">
        <v>244</v>
      </c>
      <c r="G624" s="213">
        <v>1.3</v>
      </c>
      <c r="H624" s="214">
        <f>'Folha Rosto Comp. P. Unit. '!D8</f>
        <v>1.64</v>
      </c>
      <c r="I624" s="200"/>
      <c r="J624" s="200"/>
      <c r="K624" s="215">
        <f>ROUND(G624*H624,2)</f>
        <v>2.13</v>
      </c>
    </row>
    <row r="625" spans="2:11" s="174" customFormat="1" ht="15" customHeight="1">
      <c r="B625" s="184"/>
      <c r="C625" s="185"/>
      <c r="D625" s="216" t="s">
        <v>246</v>
      </c>
      <c r="E625" s="185"/>
      <c r="F625" s="186"/>
      <c r="G625" s="213"/>
      <c r="H625" s="213"/>
      <c r="I625" s="200"/>
      <c r="J625" s="200"/>
      <c r="K625" s="201">
        <f>SUM(K623:K624)</f>
        <v>5.46</v>
      </c>
    </row>
    <row r="626" spans="2:11" s="174" customFormat="1" ht="15" customHeight="1">
      <c r="B626" s="184" t="s">
        <v>225</v>
      </c>
      <c r="C626" s="185"/>
      <c r="D626" s="185"/>
      <c r="E626" s="185"/>
      <c r="F626" s="299"/>
      <c r="G626" s="217">
        <f>'Folha Rosto Comp. P. Unit. '!B4</f>
        <v>1.26</v>
      </c>
      <c r="H626" s="186"/>
      <c r="I626" s="185"/>
      <c r="J626" s="185"/>
      <c r="K626" s="201">
        <f>K625*G626</f>
        <v>6.8795999999999999</v>
      </c>
    </row>
    <row r="627" spans="2:11" s="174" customFormat="1" ht="15" customHeight="1">
      <c r="B627" s="209"/>
      <c r="C627" s="210"/>
      <c r="D627" s="210"/>
      <c r="E627" s="210"/>
      <c r="F627" s="210"/>
      <c r="G627" s="194" t="s">
        <v>440</v>
      </c>
      <c r="H627" s="195"/>
      <c r="I627" s="219"/>
      <c r="J627" s="219"/>
      <c r="K627" s="413">
        <f>SUM(K625:K626)</f>
        <v>12.339600000000001</v>
      </c>
    </row>
    <row r="628" spans="2:11" s="174" customFormat="1" ht="15" customHeight="1">
      <c r="B628" s="438" t="s">
        <v>282</v>
      </c>
      <c r="C628" s="438"/>
      <c r="D628" s="438"/>
      <c r="E628" s="438"/>
      <c r="F628" s="395" t="s">
        <v>221</v>
      </c>
      <c r="G628" s="222" t="s">
        <v>249</v>
      </c>
      <c r="H628" s="222" t="s">
        <v>223</v>
      </c>
      <c r="I628" s="435" t="s">
        <v>228</v>
      </c>
      <c r="J628" s="435"/>
      <c r="K628" s="435"/>
    </row>
    <row r="629" spans="2:11" s="174" customFormat="1" ht="15" customHeight="1">
      <c r="B629" s="184" t="s">
        <v>441</v>
      </c>
      <c r="C629" s="185"/>
      <c r="D629" s="210"/>
      <c r="E629" s="210"/>
      <c r="F629" s="198" t="s">
        <v>251</v>
      </c>
      <c r="G629" s="214">
        <v>0.12</v>
      </c>
      <c r="H629" s="214">
        <v>18</v>
      </c>
      <c r="I629" s="255"/>
      <c r="J629" s="256"/>
      <c r="K629" s="215">
        <f>ROUND(G629*H629,2)</f>
        <v>2.16</v>
      </c>
    </row>
    <row r="630" spans="2:11" s="174" customFormat="1" ht="15" customHeight="1">
      <c r="B630" s="184" t="s">
        <v>442</v>
      </c>
      <c r="C630" s="185"/>
      <c r="D630" s="185"/>
      <c r="E630" s="185"/>
      <c r="F630" s="186" t="s">
        <v>251</v>
      </c>
      <c r="G630" s="214">
        <v>0.1</v>
      </c>
      <c r="H630" s="213">
        <v>48</v>
      </c>
      <c r="I630" s="199"/>
      <c r="J630" s="200"/>
      <c r="K630" s="215">
        <f>ROUND(G630*H630,2)</f>
        <v>4.8</v>
      </c>
    </row>
    <row r="631" spans="2:11" s="174" customFormat="1" ht="15" customHeight="1">
      <c r="B631" s="184" t="s">
        <v>443</v>
      </c>
      <c r="C631" s="185"/>
      <c r="D631" s="185"/>
      <c r="E631" s="185"/>
      <c r="F631" s="186" t="s">
        <v>261</v>
      </c>
      <c r="G631" s="214">
        <v>0.25</v>
      </c>
      <c r="H631" s="188">
        <v>4.5</v>
      </c>
      <c r="I631" s="199"/>
      <c r="J631" s="200"/>
      <c r="K631" s="215">
        <f>ROUND(G631*H631,2)</f>
        <v>1.1299999999999999</v>
      </c>
    </row>
    <row r="632" spans="2:11" s="174" customFormat="1" ht="15" customHeight="1">
      <c r="B632" s="209" t="s">
        <v>231</v>
      </c>
      <c r="C632" s="210"/>
      <c r="D632" s="210"/>
      <c r="E632" s="210"/>
      <c r="F632" s="210"/>
      <c r="G632" s="194" t="s">
        <v>232</v>
      </c>
      <c r="H632" s="195"/>
      <c r="I632" s="463" t="s">
        <v>444</v>
      </c>
      <c r="J632" s="463"/>
      <c r="K632" s="384">
        <f>SUM(K629:K631)</f>
        <v>8.09</v>
      </c>
    </row>
    <row r="633" spans="2:11" s="174" customFormat="1" ht="15" customHeight="1">
      <c r="B633" s="209" t="s">
        <v>445</v>
      </c>
      <c r="C633" s="210"/>
      <c r="D633" s="210"/>
      <c r="E633" s="210"/>
      <c r="F633" s="210"/>
      <c r="G633" s="210"/>
      <c r="H633" s="218"/>
      <c r="I633" s="210"/>
      <c r="J633" s="210"/>
      <c r="K633" s="396">
        <f>SUM(K627+K632)</f>
        <v>20.429600000000001</v>
      </c>
    </row>
    <row r="634" spans="2:11" s="174" customFormat="1" ht="15" customHeight="1">
      <c r="B634" s="209" t="s">
        <v>234</v>
      </c>
      <c r="C634" s="210"/>
      <c r="D634" s="203">
        <f>'Folha Rosto Comp. P. Unit. '!B5</f>
        <v>0.3</v>
      </c>
      <c r="E634" s="210"/>
      <c r="F634" s="210"/>
      <c r="G634" s="210"/>
      <c r="H634" s="218"/>
      <c r="I634" s="210"/>
      <c r="J634" s="185"/>
      <c r="K634" s="390">
        <f>ROUND(K633*D634,2)</f>
        <v>6.13</v>
      </c>
    </row>
    <row r="635" spans="2:11" s="174" customFormat="1" ht="15" customHeight="1">
      <c r="B635" s="436" t="s">
        <v>295</v>
      </c>
      <c r="C635" s="436"/>
      <c r="D635" s="436"/>
      <c r="E635" s="436"/>
      <c r="F635" s="436"/>
      <c r="G635" s="436"/>
      <c r="H635" s="436"/>
      <c r="I635" s="436"/>
      <c r="J635" s="436"/>
      <c r="K635" s="384">
        <f>SUM(K633:K634)</f>
        <v>26.5596</v>
      </c>
    </row>
    <row r="636" spans="2:11" s="174" customFormat="1" ht="15" customHeight="1">
      <c r="F636" s="176"/>
      <c r="H636" s="176"/>
      <c r="K636" s="177"/>
    </row>
    <row r="637" spans="2:11" s="174" customFormat="1" ht="15" customHeight="1">
      <c r="B637" s="206">
        <v>38</v>
      </c>
      <c r="C637" s="196" t="s">
        <v>344</v>
      </c>
      <c r="D637" s="207" t="s">
        <v>446</v>
      </c>
      <c r="E637" s="196"/>
      <c r="F637" s="196"/>
      <c r="G637" s="196"/>
      <c r="H637" s="195"/>
      <c r="I637" s="207"/>
      <c r="J637" s="182" t="s">
        <v>218</v>
      </c>
      <c r="K637" s="242" t="s">
        <v>241</v>
      </c>
    </row>
    <row r="638" spans="2:11" s="174" customFormat="1" ht="15" customHeight="1">
      <c r="B638" s="184" t="s">
        <v>220</v>
      </c>
      <c r="C638" s="185"/>
      <c r="D638" s="185"/>
      <c r="E638" s="243"/>
      <c r="F638" s="186" t="s">
        <v>221</v>
      </c>
      <c r="G638" s="186" t="s">
        <v>222</v>
      </c>
      <c r="H638" s="223" t="s">
        <v>223</v>
      </c>
      <c r="I638" s="434" t="s">
        <v>228</v>
      </c>
      <c r="J638" s="434"/>
      <c r="K638" s="434"/>
    </row>
    <row r="639" spans="2:11" s="174" customFormat="1" ht="15" customHeight="1">
      <c r="B639" s="184" t="s">
        <v>243</v>
      </c>
      <c r="C639" s="185"/>
      <c r="D639" s="185"/>
      <c r="E639" s="185"/>
      <c r="F639" s="186" t="s">
        <v>244</v>
      </c>
      <c r="G639" s="213">
        <v>1.3</v>
      </c>
      <c r="H639" s="214">
        <f>H623</f>
        <v>2.56</v>
      </c>
      <c r="I639" s="200"/>
      <c r="J639" s="200"/>
      <c r="K639" s="215">
        <f>ROUND(G639*H639,2)</f>
        <v>3.33</v>
      </c>
    </row>
    <row r="640" spans="2:11" s="174" customFormat="1" ht="15" customHeight="1">
      <c r="B640" s="184" t="s">
        <v>245</v>
      </c>
      <c r="C640" s="185"/>
      <c r="D640" s="185"/>
      <c r="E640" s="185"/>
      <c r="F640" s="186" t="s">
        <v>244</v>
      </c>
      <c r="G640" s="213">
        <v>1.3</v>
      </c>
      <c r="H640" s="214">
        <f>H624</f>
        <v>1.64</v>
      </c>
      <c r="I640" s="200"/>
      <c r="J640" s="200"/>
      <c r="K640" s="215">
        <f>ROUND(G640*H640,2)</f>
        <v>2.13</v>
      </c>
    </row>
    <row r="641" spans="2:11" s="174" customFormat="1" ht="15" customHeight="1">
      <c r="B641" s="184"/>
      <c r="C641" s="185"/>
      <c r="D641" s="216" t="s">
        <v>246</v>
      </c>
      <c r="E641" s="185"/>
      <c r="F641" s="186"/>
      <c r="G641" s="213"/>
      <c r="H641" s="213"/>
      <c r="I641" s="200"/>
      <c r="J641" s="200"/>
      <c r="K641" s="201">
        <f>SUM(K639:K640)</f>
        <v>5.46</v>
      </c>
    </row>
    <row r="642" spans="2:11" s="174" customFormat="1" ht="15" customHeight="1">
      <c r="B642" s="184" t="s">
        <v>225</v>
      </c>
      <c r="C642" s="185"/>
      <c r="D642" s="185"/>
      <c r="E642" s="185"/>
      <c r="F642" s="299"/>
      <c r="G642" s="217">
        <f>'Folha Rosto Comp. P. Unit. '!B4</f>
        <v>1.26</v>
      </c>
      <c r="H642" s="186"/>
      <c r="I642" s="185"/>
      <c r="J642" s="185"/>
      <c r="K642" s="201">
        <f>K641*G642</f>
        <v>6.8795999999999999</v>
      </c>
    </row>
    <row r="643" spans="2:11" s="174" customFormat="1" ht="15" customHeight="1">
      <c r="B643" s="209"/>
      <c r="C643" s="210"/>
      <c r="D643" s="210"/>
      <c r="E643" s="210"/>
      <c r="F643" s="210"/>
      <c r="G643" s="194" t="s">
        <v>440</v>
      </c>
      <c r="H643" s="195"/>
      <c r="I643" s="219"/>
      <c r="J643" s="219"/>
      <c r="K643" s="413">
        <f>SUM(K641:K642)</f>
        <v>12.339600000000001</v>
      </c>
    </row>
    <row r="644" spans="2:11" s="174" customFormat="1" ht="15" customHeight="1">
      <c r="B644" s="438" t="s">
        <v>282</v>
      </c>
      <c r="C644" s="438"/>
      <c r="D644" s="438"/>
      <c r="E644" s="438"/>
      <c r="F644" s="395" t="s">
        <v>221</v>
      </c>
      <c r="G644" s="222" t="s">
        <v>249</v>
      </c>
      <c r="H644" s="222" t="s">
        <v>223</v>
      </c>
      <c r="I644" s="435" t="s">
        <v>228</v>
      </c>
      <c r="J644" s="435"/>
      <c r="K644" s="435"/>
    </row>
    <row r="645" spans="2:11" s="174" customFormat="1" ht="15" customHeight="1">
      <c r="B645" s="184" t="s">
        <v>441</v>
      </c>
      <c r="C645" s="185"/>
      <c r="D645" s="210"/>
      <c r="E645" s="210"/>
      <c r="F645" s="198" t="s">
        <v>251</v>
      </c>
      <c r="G645" s="214">
        <v>0.05</v>
      </c>
      <c r="H645" s="214">
        <v>18</v>
      </c>
      <c r="I645" s="255"/>
      <c r="J645" s="256"/>
      <c r="K645" s="215">
        <f>ROUND(G645*H645,2)</f>
        <v>0.9</v>
      </c>
    </row>
    <row r="646" spans="2:11" s="174" customFormat="1" ht="15" customHeight="1">
      <c r="B646" s="184" t="s">
        <v>442</v>
      </c>
      <c r="C646" s="185"/>
      <c r="D646" s="185"/>
      <c r="E646" s="185"/>
      <c r="F646" s="186" t="s">
        <v>251</v>
      </c>
      <c r="G646" s="214">
        <v>6.7000000000000004E-2</v>
      </c>
      <c r="H646" s="213">
        <v>48</v>
      </c>
      <c r="I646" s="199"/>
      <c r="J646" s="200"/>
      <c r="K646" s="215">
        <f>ROUND(G646*H646,2)</f>
        <v>3.22</v>
      </c>
    </row>
    <row r="647" spans="2:11" s="174" customFormat="1" ht="15" customHeight="1">
      <c r="B647" s="184" t="s">
        <v>447</v>
      </c>
      <c r="C647" s="185"/>
      <c r="D647" s="185"/>
      <c r="E647" s="185"/>
      <c r="F647" s="186" t="s">
        <v>261</v>
      </c>
      <c r="G647" s="214">
        <v>0.3</v>
      </c>
      <c r="H647" s="188">
        <v>4.5</v>
      </c>
      <c r="I647" s="199"/>
      <c r="J647" s="200"/>
      <c r="K647" s="215">
        <f>H647*G647</f>
        <v>1.3499999999999999</v>
      </c>
    </row>
    <row r="648" spans="2:11" s="174" customFormat="1" ht="15" customHeight="1">
      <c r="B648" s="184" t="s">
        <v>448</v>
      </c>
      <c r="C648" s="185"/>
      <c r="D648" s="185"/>
      <c r="E648" s="185"/>
      <c r="F648" s="186" t="s">
        <v>241</v>
      </c>
      <c r="G648" s="214">
        <v>0.37</v>
      </c>
      <c r="H648" s="188">
        <v>17.2</v>
      </c>
      <c r="I648" s="199"/>
      <c r="J648" s="200"/>
      <c r="K648" s="215">
        <f>H648*G648</f>
        <v>6.3639999999999999</v>
      </c>
    </row>
    <row r="649" spans="2:11" s="174" customFormat="1" ht="15" customHeight="1">
      <c r="B649" s="184" t="s">
        <v>449</v>
      </c>
      <c r="C649" s="185"/>
      <c r="D649" s="185"/>
      <c r="E649" s="185"/>
      <c r="F649" s="186" t="s">
        <v>251</v>
      </c>
      <c r="G649" s="405">
        <v>4.4999999999999998E-2</v>
      </c>
      <c r="H649" s="188">
        <v>38</v>
      </c>
      <c r="I649" s="199"/>
      <c r="J649" s="200"/>
      <c r="K649" s="215">
        <f>ROUND(G649*H649,2)</f>
        <v>1.71</v>
      </c>
    </row>
    <row r="650" spans="2:11" s="174" customFormat="1" ht="15" customHeight="1">
      <c r="B650" s="209" t="s">
        <v>231</v>
      </c>
      <c r="C650" s="210"/>
      <c r="D650" s="210"/>
      <c r="E650" s="210"/>
      <c r="F650" s="210"/>
      <c r="G650" s="194" t="s">
        <v>232</v>
      </c>
      <c r="H650" s="195"/>
      <c r="I650" s="463" t="s">
        <v>444</v>
      </c>
      <c r="J650" s="463"/>
      <c r="K650" s="384">
        <f>SUM(K645:K649)</f>
        <v>13.544</v>
      </c>
    </row>
    <row r="651" spans="2:11" s="174" customFormat="1" ht="15" customHeight="1">
      <c r="B651" s="209" t="s">
        <v>445</v>
      </c>
      <c r="C651" s="210"/>
      <c r="D651" s="210"/>
      <c r="E651" s="210"/>
      <c r="F651" s="210"/>
      <c r="G651" s="210"/>
      <c r="H651" s="218"/>
      <c r="I651" s="210"/>
      <c r="J651" s="210"/>
      <c r="K651" s="396">
        <f>SUM(K643+K650)</f>
        <v>25.883600000000001</v>
      </c>
    </row>
    <row r="652" spans="2:11" s="174" customFormat="1" ht="15" customHeight="1">
      <c r="B652" s="209" t="s">
        <v>234</v>
      </c>
      <c r="C652" s="210"/>
      <c r="D652" s="203">
        <f>D634</f>
        <v>0.3</v>
      </c>
      <c r="E652" s="210"/>
      <c r="F652" s="210"/>
      <c r="G652" s="210"/>
      <c r="H652" s="218"/>
      <c r="I652" s="210"/>
      <c r="J652" s="185"/>
      <c r="K652" s="390">
        <f>ROUND(K651*D652,2)</f>
        <v>7.77</v>
      </c>
    </row>
    <row r="653" spans="2:11" s="174" customFormat="1" ht="15" customHeight="1">
      <c r="B653" s="436" t="s">
        <v>235</v>
      </c>
      <c r="C653" s="436"/>
      <c r="D653" s="436"/>
      <c r="E653" s="436"/>
      <c r="F653" s="436"/>
      <c r="G653" s="436"/>
      <c r="H653" s="436"/>
      <c r="I653" s="436"/>
      <c r="J653" s="436"/>
      <c r="K653" s="384">
        <f>SUM(K651:K652)</f>
        <v>33.653599999999997</v>
      </c>
    </row>
    <row r="654" spans="2:11" s="174" customFormat="1" ht="15" customHeight="1">
      <c r="F654" s="176"/>
      <c r="H654" s="176"/>
      <c r="K654" s="177"/>
    </row>
    <row r="655" spans="2:11" s="174" customFormat="1" ht="15" customHeight="1">
      <c r="B655" s="206">
        <v>39</v>
      </c>
      <c r="C655" s="196" t="s">
        <v>344</v>
      </c>
      <c r="D655" s="196" t="s">
        <v>450</v>
      </c>
      <c r="E655" s="196"/>
      <c r="F655" s="196"/>
      <c r="G655" s="196"/>
      <c r="H655" s="195"/>
      <c r="I655" s="207"/>
      <c r="J655" s="182" t="s">
        <v>218</v>
      </c>
      <c r="K655" s="242" t="s">
        <v>241</v>
      </c>
    </row>
    <row r="656" spans="2:11" s="174" customFormat="1" ht="15" customHeight="1">
      <c r="B656" s="184" t="s">
        <v>220</v>
      </c>
      <c r="C656" s="185"/>
      <c r="D656" s="185"/>
      <c r="E656" s="243"/>
      <c r="F656" s="186" t="s">
        <v>221</v>
      </c>
      <c r="G656" s="186" t="s">
        <v>222</v>
      </c>
      <c r="H656" s="223" t="s">
        <v>281</v>
      </c>
      <c r="I656" s="434" t="s">
        <v>224</v>
      </c>
      <c r="J656" s="434"/>
      <c r="K656" s="434"/>
    </row>
    <row r="657" spans="2:11" s="174" customFormat="1" ht="15" customHeight="1">
      <c r="B657" s="184" t="s">
        <v>245</v>
      </c>
      <c r="C657" s="185"/>
      <c r="D657" s="185"/>
      <c r="E657" s="185"/>
      <c r="F657" s="186" t="s">
        <v>244</v>
      </c>
      <c r="G657" s="213">
        <v>0.3</v>
      </c>
      <c r="H657" s="214">
        <f>'Folha Rosto Comp. P. Unit. '!D8</f>
        <v>1.64</v>
      </c>
      <c r="I657" s="200"/>
      <c r="J657" s="200"/>
      <c r="K657" s="215">
        <f>ROUND(G657*H657,2)</f>
        <v>0.49</v>
      </c>
    </row>
    <row r="658" spans="2:11" s="174" customFormat="1" ht="15" customHeight="1">
      <c r="B658" s="184"/>
      <c r="C658" s="185"/>
      <c r="D658" s="216" t="s">
        <v>246</v>
      </c>
      <c r="E658" s="185"/>
      <c r="F658" s="186"/>
      <c r="G658" s="213"/>
      <c r="H658" s="213"/>
      <c r="I658" s="200"/>
      <c r="J658" s="200"/>
      <c r="K658" s="201">
        <f>SUM(K657)</f>
        <v>0.49</v>
      </c>
    </row>
    <row r="659" spans="2:11" s="174" customFormat="1" ht="15" customHeight="1">
      <c r="B659" s="184" t="s">
        <v>225</v>
      </c>
      <c r="C659" s="185"/>
      <c r="D659" s="185"/>
      <c r="E659" s="185"/>
      <c r="F659" s="186"/>
      <c r="G659" s="217">
        <f>'Folha Rosto Comp. P. Unit. '!B4</f>
        <v>1.26</v>
      </c>
      <c r="H659" s="186"/>
      <c r="I659" s="185"/>
      <c r="J659" s="185"/>
      <c r="K659" s="201">
        <f>K658*G659</f>
        <v>0.61739999999999995</v>
      </c>
    </row>
    <row r="660" spans="2:11" s="174" customFormat="1" ht="15" customHeight="1">
      <c r="B660" s="209"/>
      <c r="C660" s="210"/>
      <c r="D660" s="210"/>
      <c r="E660" s="210"/>
      <c r="F660" s="210"/>
      <c r="G660" s="194" t="s">
        <v>440</v>
      </c>
      <c r="H660" s="195"/>
      <c r="I660" s="219"/>
      <c r="J660" s="219"/>
      <c r="K660" s="413">
        <f>SUM(K658:K659)</f>
        <v>1.1073999999999999</v>
      </c>
    </row>
    <row r="661" spans="2:11" s="174" customFormat="1" ht="15" customHeight="1">
      <c r="B661" s="438" t="s">
        <v>282</v>
      </c>
      <c r="C661" s="438"/>
      <c r="D661" s="438"/>
      <c r="E661" s="438"/>
      <c r="F661" s="278" t="s">
        <v>221</v>
      </c>
      <c r="G661" s="278" t="s">
        <v>249</v>
      </c>
      <c r="H661" s="198" t="s">
        <v>223</v>
      </c>
      <c r="I661" s="439" t="s">
        <v>224</v>
      </c>
      <c r="J661" s="439"/>
      <c r="K661" s="439"/>
    </row>
    <row r="662" spans="2:11" s="174" customFormat="1" ht="15" customHeight="1">
      <c r="B662" s="184"/>
      <c r="C662" s="185"/>
      <c r="D662" s="185"/>
      <c r="E662" s="185"/>
      <c r="F662" s="186"/>
      <c r="G662" s="273"/>
      <c r="H662" s="213"/>
      <c r="I662" s="199"/>
      <c r="J662" s="200"/>
      <c r="K662" s="404">
        <f>ROUND(G662*H662,2)</f>
        <v>0</v>
      </c>
    </row>
    <row r="663" spans="2:11" s="174" customFormat="1" ht="15" customHeight="1">
      <c r="B663" s="209" t="s">
        <v>231</v>
      </c>
      <c r="C663" s="210"/>
      <c r="D663" s="210"/>
      <c r="E663" s="210"/>
      <c r="F663" s="210"/>
      <c r="G663" s="194" t="s">
        <v>232</v>
      </c>
      <c r="H663" s="195"/>
      <c r="I663" s="463" t="s">
        <v>444</v>
      </c>
      <c r="J663" s="463"/>
      <c r="K663" s="414">
        <f>SUM(K662:K662)</f>
        <v>0</v>
      </c>
    </row>
    <row r="664" spans="2:11" s="174" customFormat="1" ht="15" customHeight="1">
      <c r="B664" s="209" t="s">
        <v>445</v>
      </c>
      <c r="C664" s="210"/>
      <c r="D664" s="210"/>
      <c r="E664" s="210"/>
      <c r="F664" s="210"/>
      <c r="G664" s="210"/>
      <c r="H664" s="218"/>
      <c r="I664" s="210"/>
      <c r="J664" s="210"/>
      <c r="K664" s="396">
        <f>SUM(K660+K663)</f>
        <v>1.1073999999999999</v>
      </c>
    </row>
    <row r="665" spans="2:11" s="174" customFormat="1" ht="15" customHeight="1">
      <c r="B665" s="321" t="s">
        <v>234</v>
      </c>
      <c r="C665" s="309"/>
      <c r="D665" s="308">
        <f>'Folha Rosto Comp. P. Unit. '!B5</f>
        <v>0.3</v>
      </c>
      <c r="E665" s="309"/>
      <c r="F665" s="309"/>
      <c r="G665" s="309"/>
      <c r="H665" s="310"/>
      <c r="I665" s="309"/>
      <c r="J665" s="309"/>
      <c r="K665" s="415">
        <f>ROUND(K664*D665,2)</f>
        <v>0.33</v>
      </c>
    </row>
    <row r="666" spans="2:11" s="174" customFormat="1" ht="15" customHeight="1">
      <c r="B666" s="436" t="s">
        <v>235</v>
      </c>
      <c r="C666" s="436"/>
      <c r="D666" s="436"/>
      <c r="E666" s="436"/>
      <c r="F666" s="436"/>
      <c r="G666" s="436"/>
      <c r="H666" s="436"/>
      <c r="I666" s="436"/>
      <c r="J666" s="436"/>
      <c r="K666" s="384">
        <f>SUM(K664:K665)</f>
        <v>1.4374</v>
      </c>
    </row>
    <row r="667" spans="2:11" s="174" customFormat="1" ht="15" customHeight="1">
      <c r="F667" s="176"/>
      <c r="H667" s="176"/>
      <c r="K667" s="177"/>
    </row>
    <row r="668" spans="2:11" s="174" customFormat="1" ht="15" customHeight="1">
      <c r="B668" s="206">
        <v>40</v>
      </c>
      <c r="C668" s="196" t="s">
        <v>344</v>
      </c>
      <c r="D668" s="196" t="s">
        <v>451</v>
      </c>
      <c r="E668" s="196"/>
      <c r="F668" s="196"/>
      <c r="G668" s="196"/>
      <c r="H668" s="195"/>
      <c r="I668" s="207"/>
      <c r="J668" s="182" t="s">
        <v>218</v>
      </c>
      <c r="K668" s="242" t="s">
        <v>261</v>
      </c>
    </row>
    <row r="669" spans="2:11" s="174" customFormat="1" ht="15" customHeight="1">
      <c r="B669" s="184" t="s">
        <v>220</v>
      </c>
      <c r="C669" s="185"/>
      <c r="D669" s="185"/>
      <c r="E669" s="243"/>
      <c r="F669" s="299" t="s">
        <v>221</v>
      </c>
      <c r="G669" s="186" t="s">
        <v>222</v>
      </c>
      <c r="H669" s="223" t="s">
        <v>223</v>
      </c>
      <c r="I669" s="434" t="s">
        <v>224</v>
      </c>
      <c r="J669" s="434"/>
      <c r="K669" s="434"/>
    </row>
    <row r="670" spans="2:11" s="174" customFormat="1" ht="15" customHeight="1">
      <c r="B670" s="209" t="s">
        <v>452</v>
      </c>
      <c r="C670" s="210"/>
      <c r="D670" s="210"/>
      <c r="E670" s="210"/>
      <c r="F670" s="198" t="s">
        <v>244</v>
      </c>
      <c r="G670" s="214">
        <v>0.16</v>
      </c>
      <c r="H670" s="214">
        <f>'Folha Rosto Comp. P. Unit. '!D7</f>
        <v>2.56</v>
      </c>
      <c r="I670" s="256"/>
      <c r="J670" s="256"/>
      <c r="K670" s="215">
        <f>ROUND(G670*H670,2)</f>
        <v>0.41</v>
      </c>
    </row>
    <row r="671" spans="2:11" s="174" customFormat="1" ht="15" customHeight="1">
      <c r="B671" s="184" t="s">
        <v>245</v>
      </c>
      <c r="C671" s="185"/>
      <c r="D671" s="185"/>
      <c r="E671" s="185"/>
      <c r="F671" s="186" t="s">
        <v>244</v>
      </c>
      <c r="G671" s="213">
        <v>0.16</v>
      </c>
      <c r="H671" s="213">
        <f>'Folha Rosto Comp. P. Unit. '!D8</f>
        <v>1.64</v>
      </c>
      <c r="I671" s="200"/>
      <c r="J671" s="200"/>
      <c r="K671" s="201">
        <f>ROUND(G671*H671,2)</f>
        <v>0.26</v>
      </c>
    </row>
    <row r="672" spans="2:11" s="174" customFormat="1" ht="15" customHeight="1">
      <c r="B672" s="184"/>
      <c r="C672" s="185"/>
      <c r="D672" s="216" t="s">
        <v>246</v>
      </c>
      <c r="E672" s="185"/>
      <c r="F672" s="186"/>
      <c r="G672" s="213"/>
      <c r="H672" s="213"/>
      <c r="I672" s="200"/>
      <c r="J672" s="200"/>
      <c r="K672" s="201">
        <f>SUM(K670:K671)</f>
        <v>0.66999999999999993</v>
      </c>
    </row>
    <row r="673" spans="2:11" s="174" customFormat="1" ht="15" customHeight="1">
      <c r="B673" s="184" t="s">
        <v>393</v>
      </c>
      <c r="C673" s="185"/>
      <c r="D673" s="185"/>
      <c r="E673" s="185"/>
      <c r="F673" s="299"/>
      <c r="G673" s="217">
        <f>'Folha Rosto Comp. P. Unit. '!B4</f>
        <v>1.26</v>
      </c>
      <c r="H673" s="186"/>
      <c r="I673" s="185"/>
      <c r="J673" s="185"/>
      <c r="K673" s="201">
        <f>K672*G673</f>
        <v>0.84419999999999995</v>
      </c>
    </row>
    <row r="674" spans="2:11" s="174" customFormat="1" ht="15" customHeight="1">
      <c r="B674" s="209"/>
      <c r="C674" s="210"/>
      <c r="D674" s="210"/>
      <c r="E674" s="210"/>
      <c r="F674" s="210"/>
      <c r="G674" s="194" t="s">
        <v>248</v>
      </c>
      <c r="H674" s="195"/>
      <c r="I674" s="219"/>
      <c r="J674" s="219"/>
      <c r="K674" s="384">
        <f>SUM(K672:K673)</f>
        <v>1.5141999999999998</v>
      </c>
    </row>
    <row r="675" spans="2:11" s="174" customFormat="1" ht="15" customHeight="1">
      <c r="B675" s="448" t="s">
        <v>282</v>
      </c>
      <c r="C675" s="448"/>
      <c r="D675" s="448"/>
      <c r="E675" s="448"/>
      <c r="F675" s="299" t="s">
        <v>221</v>
      </c>
      <c r="G675" s="222" t="s">
        <v>249</v>
      </c>
      <c r="H675" s="222" t="s">
        <v>223</v>
      </c>
      <c r="I675" s="439" t="s">
        <v>224</v>
      </c>
      <c r="J675" s="439"/>
      <c r="K675" s="439"/>
    </row>
    <row r="676" spans="2:11" s="174" customFormat="1" ht="15" customHeight="1">
      <c r="B676" s="209" t="s">
        <v>453</v>
      </c>
      <c r="C676" s="210"/>
      <c r="D676" s="210"/>
      <c r="E676" s="210"/>
      <c r="F676" s="198" t="s">
        <v>261</v>
      </c>
      <c r="G676" s="214">
        <v>1.1000000000000001</v>
      </c>
      <c r="H676" s="214">
        <v>3.51</v>
      </c>
      <c r="I676" s="255"/>
      <c r="J676" s="256"/>
      <c r="K676" s="215">
        <f>ROUND(G676*H676,2)</f>
        <v>3.86</v>
      </c>
    </row>
    <row r="677" spans="2:11" s="174" customFormat="1" ht="15" customHeight="1">
      <c r="B677" s="184" t="s">
        <v>305</v>
      </c>
      <c r="C677" s="185"/>
      <c r="D677" s="185"/>
      <c r="E677" s="185"/>
      <c r="F677" s="186" t="s">
        <v>261</v>
      </c>
      <c r="G677" s="213">
        <v>3.5000000000000003E-2</v>
      </c>
      <c r="H677" s="213">
        <v>5.7</v>
      </c>
      <c r="I677" s="199"/>
      <c r="J677" s="200"/>
      <c r="K677" s="201">
        <f>ROUND(G677*H677,2)</f>
        <v>0.2</v>
      </c>
    </row>
    <row r="678" spans="2:11" s="174" customFormat="1" ht="15" customHeight="1">
      <c r="B678" s="209" t="s">
        <v>231</v>
      </c>
      <c r="C678" s="210"/>
      <c r="D678" s="210"/>
      <c r="E678" s="210"/>
      <c r="F678" s="210"/>
      <c r="G678" s="194" t="s">
        <v>232</v>
      </c>
      <c r="H678" s="195"/>
      <c r="I678" s="463" t="s">
        <v>444</v>
      </c>
      <c r="J678" s="463"/>
      <c r="K678" s="384">
        <f>SUM(K676:K677)</f>
        <v>4.0599999999999996</v>
      </c>
    </row>
    <row r="679" spans="2:11" s="174" customFormat="1" ht="15" customHeight="1">
      <c r="B679" s="209" t="s">
        <v>398</v>
      </c>
      <c r="C679" s="210"/>
      <c r="D679" s="210"/>
      <c r="E679" s="210"/>
      <c r="F679" s="210"/>
      <c r="G679" s="210"/>
      <c r="H679" s="218"/>
      <c r="I679" s="210"/>
      <c r="J679" s="210"/>
      <c r="K679" s="396">
        <f>SUM(K674+K678)</f>
        <v>5.5741999999999994</v>
      </c>
    </row>
    <row r="680" spans="2:11" s="174" customFormat="1" ht="15" customHeight="1">
      <c r="B680" s="184" t="s">
        <v>234</v>
      </c>
      <c r="C680" s="185"/>
      <c r="D680" s="203">
        <f>'Folha Rosto Comp. P. Unit. '!B5</f>
        <v>0.3</v>
      </c>
      <c r="E680" s="185"/>
      <c r="F680" s="185"/>
      <c r="G680" s="185"/>
      <c r="H680" s="193"/>
      <c r="I680" s="185"/>
      <c r="J680" s="185"/>
      <c r="K680" s="390">
        <f>ROUND(K679*D680,2)</f>
        <v>1.67</v>
      </c>
    </row>
    <row r="681" spans="2:11" s="174" customFormat="1" ht="15" customHeight="1">
      <c r="B681" s="436" t="s">
        <v>235</v>
      </c>
      <c r="C681" s="436"/>
      <c r="D681" s="436"/>
      <c r="E681" s="436"/>
      <c r="F681" s="436"/>
      <c r="G681" s="436"/>
      <c r="H681" s="436"/>
      <c r="I681" s="436"/>
      <c r="J681" s="436"/>
      <c r="K681" s="384">
        <f>SUM(K679:K680)</f>
        <v>7.2441999999999993</v>
      </c>
    </row>
    <row r="682" spans="2:11" s="174" customFormat="1" ht="15" customHeight="1">
      <c r="B682" s="172"/>
      <c r="C682" s="172"/>
      <c r="D682" s="172"/>
      <c r="E682" s="172"/>
      <c r="F682" s="172"/>
      <c r="G682" s="172"/>
      <c r="H682" s="323"/>
      <c r="I682" s="172"/>
      <c r="J682" s="172"/>
      <c r="K682" s="172"/>
    </row>
    <row r="683" spans="2:11" s="174" customFormat="1" ht="15" customHeight="1">
      <c r="B683" s="206">
        <v>41</v>
      </c>
      <c r="C683" s="195" t="s">
        <v>401</v>
      </c>
      <c r="D683" s="196" t="s">
        <v>454</v>
      </c>
      <c r="E683" s="196"/>
      <c r="F683" s="196"/>
      <c r="G683" s="196"/>
      <c r="H683" s="195"/>
      <c r="I683" s="207"/>
      <c r="J683" s="182" t="s">
        <v>218</v>
      </c>
      <c r="K683" s="242" t="s">
        <v>261</v>
      </c>
    </row>
    <row r="684" spans="2:11" s="174" customFormat="1" ht="15" customHeight="1">
      <c r="B684" s="184" t="s">
        <v>220</v>
      </c>
      <c r="C684" s="185"/>
      <c r="D684" s="185"/>
      <c r="E684" s="243"/>
      <c r="F684" s="186" t="s">
        <v>221</v>
      </c>
      <c r="G684" s="186" t="s">
        <v>222</v>
      </c>
      <c r="H684" s="186" t="s">
        <v>281</v>
      </c>
      <c r="I684" s="434" t="s">
        <v>224</v>
      </c>
      <c r="J684" s="434"/>
      <c r="K684" s="434"/>
    </row>
    <row r="685" spans="2:11" s="174" customFormat="1" ht="15" customHeight="1">
      <c r="B685" s="209" t="s">
        <v>452</v>
      </c>
      <c r="C685" s="210"/>
      <c r="D685" s="210"/>
      <c r="E685" s="210"/>
      <c r="F685" s="198" t="s">
        <v>244</v>
      </c>
      <c r="G685" s="214">
        <v>0.16</v>
      </c>
      <c r="H685" s="214">
        <f>'Folha Rosto Comp. P. Unit. '!D7</f>
        <v>2.56</v>
      </c>
      <c r="I685" s="256"/>
      <c r="J685" s="256"/>
      <c r="K685" s="215">
        <f>ROUND(G685*H685,2)</f>
        <v>0.41</v>
      </c>
    </row>
    <row r="686" spans="2:11" s="174" customFormat="1" ht="15" customHeight="1">
      <c r="B686" s="184" t="s">
        <v>245</v>
      </c>
      <c r="C686" s="185"/>
      <c r="D686" s="185"/>
      <c r="E686" s="185"/>
      <c r="F686" s="186" t="s">
        <v>244</v>
      </c>
      <c r="G686" s="213">
        <v>0.16</v>
      </c>
      <c r="H686" s="213">
        <f>'Folha Rosto Comp. P. Unit. '!D8</f>
        <v>1.64</v>
      </c>
      <c r="I686" s="200"/>
      <c r="J686" s="200"/>
      <c r="K686" s="201">
        <f>ROUND(G686*H686,2)</f>
        <v>0.26</v>
      </c>
    </row>
    <row r="687" spans="2:11" s="174" customFormat="1" ht="15" customHeight="1">
      <c r="B687" s="322"/>
      <c r="C687" s="172"/>
      <c r="D687" s="260" t="s">
        <v>246</v>
      </c>
      <c r="E687" s="172"/>
      <c r="F687" s="223"/>
      <c r="G687" s="229"/>
      <c r="H687" s="229"/>
      <c r="I687" s="230"/>
      <c r="J687" s="230"/>
      <c r="K687" s="231">
        <f>SUM(K685:K686)</f>
        <v>0.66999999999999993</v>
      </c>
    </row>
    <row r="688" spans="2:11" s="174" customFormat="1" ht="15" customHeight="1">
      <c r="B688" s="321" t="s">
        <v>393</v>
      </c>
      <c r="C688" s="309"/>
      <c r="D688" s="309"/>
      <c r="E688" s="309"/>
      <c r="F688" s="416"/>
      <c r="G688" s="401">
        <f>'Folha Rosto Comp. P. Unit. '!B4</f>
        <v>1.26</v>
      </c>
      <c r="H688" s="279"/>
      <c r="I688" s="309"/>
      <c r="J688" s="309"/>
      <c r="K688" s="357">
        <f>K687*G688</f>
        <v>0.84419999999999995</v>
      </c>
    </row>
    <row r="689" spans="2:11" s="174" customFormat="1" ht="15" customHeight="1">
      <c r="B689" s="268"/>
      <c r="C689" s="269"/>
      <c r="D689" s="269"/>
      <c r="E689" s="269"/>
      <c r="F689" s="269"/>
      <c r="G689" s="194" t="s">
        <v>248</v>
      </c>
      <c r="H689" s="195"/>
      <c r="I689" s="383"/>
      <c r="J689" s="219"/>
      <c r="K689" s="384">
        <f>SUM(K687:K688)</f>
        <v>1.5141999999999998</v>
      </c>
    </row>
    <row r="690" spans="2:11" s="174" customFormat="1" ht="15" customHeight="1">
      <c r="B690" s="438" t="s">
        <v>282</v>
      </c>
      <c r="C690" s="438"/>
      <c r="D690" s="438"/>
      <c r="E690" s="438"/>
      <c r="F690" s="222" t="s">
        <v>221</v>
      </c>
      <c r="G690" s="222" t="s">
        <v>338</v>
      </c>
      <c r="H690" s="222" t="s">
        <v>223</v>
      </c>
      <c r="I690" s="439" t="s">
        <v>224</v>
      </c>
      <c r="J690" s="439"/>
      <c r="K690" s="439"/>
    </row>
    <row r="691" spans="2:11" s="174" customFormat="1" ht="15" customHeight="1">
      <c r="B691" s="209" t="s">
        <v>455</v>
      </c>
      <c r="C691" s="210"/>
      <c r="D691" s="210"/>
      <c r="E691" s="210"/>
      <c r="F691" s="198" t="s">
        <v>261</v>
      </c>
      <c r="G691" s="214">
        <v>1.1000000000000001</v>
      </c>
      <c r="H691" s="214">
        <v>3.86</v>
      </c>
      <c r="I691" s="255"/>
      <c r="J691" s="256"/>
      <c r="K691" s="215">
        <f>ROUND(G691*H691,2)</f>
        <v>4.25</v>
      </c>
    </row>
    <row r="692" spans="2:11" s="174" customFormat="1" ht="15" customHeight="1">
      <c r="B692" s="184" t="s">
        <v>305</v>
      </c>
      <c r="C692" s="185"/>
      <c r="D692" s="185"/>
      <c r="E692" s="185"/>
      <c r="F692" s="186" t="s">
        <v>261</v>
      </c>
      <c r="G692" s="213">
        <v>0.02</v>
      </c>
      <c r="H692" s="213">
        <v>5.7</v>
      </c>
      <c r="I692" s="199"/>
      <c r="J692" s="200"/>
      <c r="K692" s="201">
        <f>ROUND(G692*H692,2)</f>
        <v>0.11</v>
      </c>
    </row>
    <row r="693" spans="2:11" s="174" customFormat="1" ht="15" customHeight="1">
      <c r="B693" s="209" t="s">
        <v>231</v>
      </c>
      <c r="C693" s="210"/>
      <c r="D693" s="210"/>
      <c r="E693" s="210"/>
      <c r="F693" s="210"/>
      <c r="G693" s="194" t="s">
        <v>232</v>
      </c>
      <c r="H693" s="195"/>
      <c r="I693" s="388"/>
      <c r="J693" s="389"/>
      <c r="K693" s="384">
        <f>SUM(K691:K692)</f>
        <v>4.3600000000000003</v>
      </c>
    </row>
    <row r="694" spans="2:11" s="174" customFormat="1" ht="15" customHeight="1">
      <c r="B694" s="209" t="s">
        <v>407</v>
      </c>
      <c r="C694" s="210"/>
      <c r="D694" s="210"/>
      <c r="E694" s="210"/>
      <c r="F694" s="210"/>
      <c r="G694" s="210"/>
      <c r="H694" s="218"/>
      <c r="I694" s="210"/>
      <c r="J694" s="210"/>
      <c r="K694" s="396">
        <f>SUM(K689+K693)</f>
        <v>5.8742000000000001</v>
      </c>
    </row>
    <row r="695" spans="2:11" s="174" customFormat="1" ht="15" customHeight="1">
      <c r="B695" s="209" t="s">
        <v>234</v>
      </c>
      <c r="C695" s="210"/>
      <c r="D695" s="203">
        <f>'Folha Rosto Comp. P. Unit. '!B5</f>
        <v>0.3</v>
      </c>
      <c r="E695" s="210"/>
      <c r="F695" s="210"/>
      <c r="G695" s="210"/>
      <c r="H695" s="218"/>
      <c r="I695" s="210"/>
      <c r="J695" s="185"/>
      <c r="K695" s="390">
        <f>ROUND(K694*D695,2)</f>
        <v>1.76</v>
      </c>
    </row>
    <row r="696" spans="2:11" s="174" customFormat="1" ht="15" customHeight="1">
      <c r="B696" s="436" t="s">
        <v>235</v>
      </c>
      <c r="C696" s="436"/>
      <c r="D696" s="436"/>
      <c r="E696" s="436"/>
      <c r="F696" s="436"/>
      <c r="G696" s="436"/>
      <c r="H696" s="436"/>
      <c r="I696" s="436"/>
      <c r="J696" s="436"/>
      <c r="K696" s="384">
        <f>SUM(K694:K695)</f>
        <v>7.6341999999999999</v>
      </c>
    </row>
    <row r="697" spans="2:11" s="174" customFormat="1" ht="15" customHeight="1">
      <c r="F697" s="176"/>
      <c r="H697" s="176"/>
      <c r="K697" s="177"/>
    </row>
    <row r="698" spans="2:11" ht="13.9" customHeight="1">
      <c r="B698" s="206">
        <v>42</v>
      </c>
      <c r="C698" s="181" t="s">
        <v>216</v>
      </c>
      <c r="D698" s="196" t="s">
        <v>456</v>
      </c>
      <c r="E698" s="196"/>
      <c r="F698" s="195"/>
      <c r="G698" s="196"/>
      <c r="H698" s="195"/>
      <c r="I698" s="207"/>
      <c r="J698" s="182" t="s">
        <v>218</v>
      </c>
      <c r="K698" s="242" t="s">
        <v>316</v>
      </c>
    </row>
    <row r="699" spans="2:11">
      <c r="B699" s="268" t="s">
        <v>220</v>
      </c>
      <c r="C699" s="269"/>
      <c r="D699" s="269"/>
      <c r="E699" s="358"/>
      <c r="F699" s="270" t="s">
        <v>221</v>
      </c>
      <c r="G699" s="270" t="s">
        <v>222</v>
      </c>
      <c r="H699" s="270" t="s">
        <v>223</v>
      </c>
      <c r="I699" s="435" t="s">
        <v>224</v>
      </c>
      <c r="J699" s="435"/>
      <c r="K699" s="435"/>
    </row>
    <row r="700" spans="2:11">
      <c r="B700" s="209" t="s">
        <v>245</v>
      </c>
      <c r="C700" s="210"/>
      <c r="D700" s="210"/>
      <c r="E700" s="210"/>
      <c r="F700" s="198" t="s">
        <v>244</v>
      </c>
      <c r="G700" s="214">
        <v>3</v>
      </c>
      <c r="H700" s="214">
        <f>'Folha Rosto Comp. P. Unit. '!D7</f>
        <v>2.56</v>
      </c>
      <c r="I700" s="256"/>
      <c r="J700" s="256"/>
      <c r="K700" s="215">
        <f>ROUND(G700*H700,2)</f>
        <v>7.68</v>
      </c>
    </row>
    <row r="701" spans="2:11">
      <c r="B701" s="184"/>
      <c r="C701" s="185"/>
      <c r="D701" s="216" t="s">
        <v>246</v>
      </c>
      <c r="E701" s="185"/>
      <c r="F701" s="186"/>
      <c r="G701" s="213"/>
      <c r="H701" s="213"/>
      <c r="I701" s="200"/>
      <c r="J701" s="200"/>
      <c r="K701" s="201">
        <f>SUM(K700)</f>
        <v>7.68</v>
      </c>
    </row>
    <row r="702" spans="2:11">
      <c r="B702" s="184" t="s">
        <v>225</v>
      </c>
      <c r="C702" s="185"/>
      <c r="D702" s="185"/>
      <c r="E702" s="185"/>
      <c r="F702" s="186"/>
      <c r="G702" s="217">
        <f>'Folha Rosto Comp. P. Unit. '!B4</f>
        <v>1.26</v>
      </c>
      <c r="H702" s="186"/>
      <c r="I702" s="185"/>
      <c r="J702" s="185"/>
      <c r="K702" s="201">
        <f>K701*G702</f>
        <v>9.6768000000000001</v>
      </c>
    </row>
    <row r="703" spans="2:11">
      <c r="B703" s="209"/>
      <c r="C703" s="210"/>
      <c r="D703" s="210"/>
      <c r="E703" s="210"/>
      <c r="F703" s="218"/>
      <c r="G703" s="194" t="s">
        <v>248</v>
      </c>
      <c r="H703" s="195"/>
      <c r="I703" s="219"/>
      <c r="J703" s="219"/>
      <c r="K703" s="221">
        <f>SUM(K701:K702)</f>
        <v>17.3568</v>
      </c>
    </row>
    <row r="704" spans="2:11">
      <c r="B704" s="438" t="s">
        <v>282</v>
      </c>
      <c r="C704" s="438"/>
      <c r="D704" s="438"/>
      <c r="E704" s="438"/>
      <c r="F704" s="198" t="s">
        <v>221</v>
      </c>
      <c r="G704" s="395" t="s">
        <v>249</v>
      </c>
      <c r="H704" s="198" t="s">
        <v>223</v>
      </c>
      <c r="I704" s="435" t="s">
        <v>224</v>
      </c>
      <c r="J704" s="435"/>
      <c r="K704" s="435"/>
    </row>
    <row r="705" spans="2:11">
      <c r="B705" s="184"/>
      <c r="C705" s="185"/>
      <c r="D705" s="185"/>
      <c r="E705" s="185"/>
      <c r="F705" s="186"/>
      <c r="G705" s="278"/>
      <c r="H705" s="328"/>
      <c r="I705" s="189"/>
      <c r="J705" s="185"/>
      <c r="K705" s="190"/>
    </row>
    <row r="706" spans="2:11">
      <c r="B706" s="209" t="s">
        <v>231</v>
      </c>
      <c r="C706" s="210"/>
      <c r="D706" s="210"/>
      <c r="E706" s="210"/>
      <c r="F706" s="218"/>
      <c r="G706" s="194" t="s">
        <v>232</v>
      </c>
      <c r="H706" s="195"/>
      <c r="I706" s="219"/>
      <c r="J706" s="219"/>
      <c r="K706" s="197">
        <f>SUM(K705:K705)</f>
        <v>0</v>
      </c>
    </row>
    <row r="707" spans="2:11">
      <c r="B707" s="209" t="s">
        <v>278</v>
      </c>
      <c r="C707" s="210"/>
      <c r="D707" s="210"/>
      <c r="E707" s="210"/>
      <c r="F707" s="218"/>
      <c r="G707" s="210"/>
      <c r="H707" s="218"/>
      <c r="I707" s="210"/>
      <c r="J707" s="210"/>
      <c r="K707" s="258">
        <f>SUM(K703+K706)</f>
        <v>17.3568</v>
      </c>
    </row>
    <row r="708" spans="2:11">
      <c r="B708" s="209" t="s">
        <v>234</v>
      </c>
      <c r="C708" s="210"/>
      <c r="D708" s="203">
        <f>'Folha Rosto Comp. P. Unit. '!B5</f>
        <v>0.3</v>
      </c>
      <c r="E708" s="210"/>
      <c r="F708" s="218"/>
      <c r="G708" s="210"/>
      <c r="H708" s="218"/>
      <c r="I708" s="210"/>
      <c r="J708" s="185"/>
      <c r="K708" s="202">
        <f>ROUND(K707*D708,2)</f>
        <v>5.21</v>
      </c>
    </row>
    <row r="709" spans="2:11">
      <c r="B709" s="436" t="s">
        <v>295</v>
      </c>
      <c r="C709" s="436"/>
      <c r="D709" s="436"/>
      <c r="E709" s="436"/>
      <c r="F709" s="436"/>
      <c r="G709" s="436"/>
      <c r="H709" s="436"/>
      <c r="I709" s="436"/>
      <c r="J709" s="436"/>
      <c r="K709" s="221">
        <f>SUM(K707:K708)</f>
        <v>22.566800000000001</v>
      </c>
    </row>
    <row r="711" spans="2:11">
      <c r="B711" s="206">
        <v>43</v>
      </c>
      <c r="C711" s="195" t="s">
        <v>401</v>
      </c>
      <c r="D711" s="196" t="s">
        <v>457</v>
      </c>
      <c r="E711" s="196"/>
      <c r="F711" s="196"/>
      <c r="G711" s="196"/>
      <c r="H711" s="195"/>
      <c r="I711" s="207"/>
      <c r="J711" s="182" t="s">
        <v>218</v>
      </c>
      <c r="K711" s="242" t="s">
        <v>241</v>
      </c>
    </row>
    <row r="712" spans="2:11">
      <c r="B712" s="184" t="s">
        <v>220</v>
      </c>
      <c r="C712" s="185"/>
      <c r="D712" s="185"/>
      <c r="E712" s="243"/>
      <c r="F712" s="186" t="s">
        <v>221</v>
      </c>
      <c r="G712" s="186" t="s">
        <v>222</v>
      </c>
      <c r="H712" s="186" t="s">
        <v>223</v>
      </c>
      <c r="I712" s="434" t="s">
        <v>224</v>
      </c>
      <c r="J712" s="434"/>
      <c r="K712" s="434"/>
    </row>
    <row r="713" spans="2:11">
      <c r="B713" s="184" t="s">
        <v>269</v>
      </c>
      <c r="C713" s="185"/>
      <c r="D713" s="185"/>
      <c r="E713" s="185"/>
      <c r="F713" s="186" t="s">
        <v>244</v>
      </c>
      <c r="G713" s="213">
        <v>0.36</v>
      </c>
      <c r="H713" s="214">
        <f>'Folha Rosto Comp. P. Unit. '!D7</f>
        <v>2.56</v>
      </c>
      <c r="I713" s="200"/>
      <c r="J713" s="200"/>
      <c r="K713" s="215">
        <f>G713*H713</f>
        <v>0.92159999999999997</v>
      </c>
    </row>
    <row r="714" spans="2:11">
      <c r="B714" s="184" t="s">
        <v>300</v>
      </c>
      <c r="C714" s="185"/>
      <c r="D714" s="185"/>
      <c r="E714" s="185"/>
      <c r="F714" s="186" t="s">
        <v>244</v>
      </c>
      <c r="G714" s="213">
        <v>0.36</v>
      </c>
      <c r="H714" s="214">
        <f>'Folha Rosto Comp. P. Unit. '!D8</f>
        <v>1.64</v>
      </c>
      <c r="I714" s="200"/>
      <c r="J714" s="200"/>
      <c r="K714" s="215">
        <f>G714*H714</f>
        <v>0.59039999999999992</v>
      </c>
    </row>
    <row r="715" spans="2:11">
      <c r="B715" s="184"/>
      <c r="C715" s="185"/>
      <c r="D715" s="216" t="s">
        <v>246</v>
      </c>
      <c r="E715" s="185"/>
      <c r="F715" s="186"/>
      <c r="G715" s="213"/>
      <c r="H715" s="213"/>
      <c r="I715" s="200"/>
      <c r="J715" s="200"/>
      <c r="K715" s="201">
        <f>SUM(K713:K714)</f>
        <v>1.512</v>
      </c>
    </row>
    <row r="716" spans="2:11">
      <c r="B716" s="184" t="s">
        <v>393</v>
      </c>
      <c r="C716" s="185"/>
      <c r="D716" s="185"/>
      <c r="E716" s="185"/>
      <c r="F716" s="299"/>
      <c r="G716" s="192">
        <v>1.26</v>
      </c>
      <c r="H716" s="186"/>
      <c r="I716" s="185"/>
      <c r="J716" s="185"/>
      <c r="K716" s="201">
        <f>K715*G716</f>
        <v>1.9051199999999999</v>
      </c>
    </row>
    <row r="717" spans="2:11">
      <c r="B717" s="209"/>
      <c r="C717" s="210"/>
      <c r="D717" s="210"/>
      <c r="E717" s="210"/>
      <c r="F717" s="210"/>
      <c r="G717" s="194" t="s">
        <v>248</v>
      </c>
      <c r="H717" s="195"/>
      <c r="I717" s="383"/>
      <c r="J717" s="219"/>
      <c r="K717" s="384">
        <f>SUM(K715:K716)</f>
        <v>3.4171199999999997</v>
      </c>
    </row>
    <row r="718" spans="2:11">
      <c r="B718" s="448" t="s">
        <v>282</v>
      </c>
      <c r="C718" s="448"/>
      <c r="D718" s="448"/>
      <c r="E718" s="448"/>
      <c r="F718" s="186" t="s">
        <v>221</v>
      </c>
      <c r="G718" s="222" t="s">
        <v>249</v>
      </c>
      <c r="H718" s="270" t="s">
        <v>223</v>
      </c>
      <c r="I718" s="439" t="s">
        <v>224</v>
      </c>
      <c r="J718" s="439"/>
      <c r="K718" s="439"/>
    </row>
    <row r="719" spans="2:11">
      <c r="B719" s="209" t="s">
        <v>458</v>
      </c>
      <c r="C719" s="210"/>
      <c r="D719" s="210"/>
      <c r="E719" s="211"/>
      <c r="F719" s="198" t="s">
        <v>417</v>
      </c>
      <c r="G719" s="214">
        <v>0.05</v>
      </c>
      <c r="H719" s="385">
        <v>125</v>
      </c>
      <c r="I719" s="255"/>
      <c r="J719" s="256"/>
      <c r="K719" s="386">
        <f>ROUND(G719*H719,2)</f>
        <v>6.25</v>
      </c>
    </row>
    <row r="720" spans="2:11">
      <c r="B720" s="184" t="s">
        <v>459</v>
      </c>
      <c r="C720" s="185"/>
      <c r="D720" s="185"/>
      <c r="E720" s="243"/>
      <c r="F720" s="198" t="s">
        <v>417</v>
      </c>
      <c r="G720" s="326">
        <v>0.15</v>
      </c>
      <c r="H720" s="325">
        <v>77</v>
      </c>
      <c r="I720" s="199"/>
      <c r="J720" s="200"/>
      <c r="K720" s="387">
        <f>ROUND(G720*H720,2)</f>
        <v>11.55</v>
      </c>
    </row>
    <row r="721" spans="2:11">
      <c r="B721" s="184" t="s">
        <v>460</v>
      </c>
      <c r="C721" s="185"/>
      <c r="D721" s="185"/>
      <c r="E721" s="243"/>
      <c r="F721" s="198" t="s">
        <v>219</v>
      </c>
      <c r="G721" s="213">
        <v>0.5</v>
      </c>
      <c r="H721" s="325">
        <v>0.45</v>
      </c>
      <c r="I721" s="199"/>
      <c r="J721" s="200"/>
      <c r="K721" s="387">
        <f>ROUND(G721*H721,2)</f>
        <v>0.23</v>
      </c>
    </row>
    <row r="722" spans="2:11">
      <c r="B722" s="184"/>
      <c r="C722" s="185"/>
      <c r="D722" s="185"/>
      <c r="E722" s="243"/>
      <c r="F722" s="198"/>
      <c r="G722" s="213"/>
      <c r="H722" s="325"/>
      <c r="I722" s="199"/>
      <c r="J722" s="200"/>
      <c r="K722" s="387">
        <f>ROUND(G722*H722,2)</f>
        <v>0</v>
      </c>
    </row>
    <row r="723" spans="2:11">
      <c r="B723" s="209"/>
      <c r="C723" s="210"/>
      <c r="D723" s="210"/>
      <c r="E723" s="210"/>
      <c r="F723" s="380"/>
      <c r="G723" s="194" t="s">
        <v>232</v>
      </c>
      <c r="H723" s="195"/>
      <c r="I723" s="388"/>
      <c r="J723" s="389"/>
      <c r="K723" s="384">
        <f>SUM(K719:K722)</f>
        <v>18.03</v>
      </c>
    </row>
    <row r="724" spans="2:11">
      <c r="B724" s="184" t="s">
        <v>407</v>
      </c>
      <c r="C724" s="185"/>
      <c r="D724" s="185"/>
      <c r="E724" s="185"/>
      <c r="F724" s="185"/>
      <c r="G724" s="185"/>
      <c r="H724" s="193"/>
      <c r="I724" s="185"/>
      <c r="J724" s="185"/>
      <c r="K724" s="390">
        <f>SUM(K717+K723)</f>
        <v>21.447120000000002</v>
      </c>
    </row>
    <row r="725" spans="2:11">
      <c r="B725" s="209" t="s">
        <v>234</v>
      </c>
      <c r="C725" s="210"/>
      <c r="D725" s="203">
        <f>'Folha Rosto Comp. P. Unit. '!B5</f>
        <v>0.3</v>
      </c>
      <c r="E725" s="210"/>
      <c r="F725" s="210"/>
      <c r="G725" s="210"/>
      <c r="H725" s="218"/>
      <c r="I725" s="210"/>
      <c r="J725" s="185"/>
      <c r="K725" s="390">
        <f>ROUND(K724*D725,2)</f>
        <v>6.43</v>
      </c>
    </row>
    <row r="726" spans="2:11">
      <c r="B726" s="436" t="s">
        <v>235</v>
      </c>
      <c r="C726" s="436"/>
      <c r="D726" s="436"/>
      <c r="E726" s="436"/>
      <c r="F726" s="436"/>
      <c r="G726" s="436"/>
      <c r="H726" s="436"/>
      <c r="I726" s="436"/>
      <c r="J726" s="436"/>
      <c r="K726" s="384">
        <f>SUM(K724:K725)</f>
        <v>27.877120000000001</v>
      </c>
    </row>
    <row r="728" spans="2:11">
      <c r="B728" s="206">
        <v>44</v>
      </c>
      <c r="C728" s="195" t="s">
        <v>401</v>
      </c>
      <c r="D728" s="196" t="s">
        <v>427</v>
      </c>
      <c r="E728" s="196"/>
      <c r="F728" s="196"/>
      <c r="G728" s="196"/>
      <c r="H728" s="195"/>
      <c r="I728" s="207"/>
      <c r="J728" s="182" t="s">
        <v>218</v>
      </c>
      <c r="K728" s="242" t="s">
        <v>241</v>
      </c>
    </row>
    <row r="729" spans="2:11">
      <c r="B729" s="184" t="s">
        <v>220</v>
      </c>
      <c r="C729" s="185"/>
      <c r="D729" s="185"/>
      <c r="E729" s="243"/>
      <c r="F729" s="186" t="s">
        <v>221</v>
      </c>
      <c r="G729" s="186" t="s">
        <v>222</v>
      </c>
      <c r="H729" s="186" t="s">
        <v>223</v>
      </c>
      <c r="I729" s="434" t="s">
        <v>224</v>
      </c>
      <c r="J729" s="434"/>
      <c r="K729" s="434"/>
    </row>
    <row r="730" spans="2:11">
      <c r="B730" s="184" t="s">
        <v>269</v>
      </c>
      <c r="C730" s="185"/>
      <c r="D730" s="185"/>
      <c r="E730" s="185"/>
      <c r="F730" s="186" t="s">
        <v>244</v>
      </c>
      <c r="G730" s="213">
        <v>0.36</v>
      </c>
      <c r="H730" s="214">
        <f>'Folha Rosto Comp. P. Unit. '!D7</f>
        <v>2.56</v>
      </c>
      <c r="I730" s="200"/>
      <c r="J730" s="200"/>
      <c r="K730" s="215">
        <f>G730*H730</f>
        <v>0.92159999999999997</v>
      </c>
    </row>
    <row r="731" spans="2:11">
      <c r="B731" s="184" t="s">
        <v>300</v>
      </c>
      <c r="C731" s="185"/>
      <c r="D731" s="185"/>
      <c r="E731" s="185"/>
      <c r="F731" s="186" t="s">
        <v>244</v>
      </c>
      <c r="G731" s="213">
        <v>0.36</v>
      </c>
      <c r="H731" s="214">
        <f>'Folha Rosto Comp. P. Unit. '!D8</f>
        <v>1.64</v>
      </c>
      <c r="I731" s="200"/>
      <c r="J731" s="200"/>
      <c r="K731" s="215">
        <f>G731*H731</f>
        <v>0.59039999999999992</v>
      </c>
    </row>
    <row r="732" spans="2:11">
      <c r="B732" s="184"/>
      <c r="C732" s="185"/>
      <c r="D732" s="216" t="s">
        <v>246</v>
      </c>
      <c r="E732" s="185"/>
      <c r="F732" s="186"/>
      <c r="G732" s="213"/>
      <c r="H732" s="213"/>
      <c r="I732" s="200"/>
      <c r="J732" s="200"/>
      <c r="K732" s="201">
        <f>SUM(K730:K731)</f>
        <v>1.512</v>
      </c>
    </row>
    <row r="733" spans="2:11">
      <c r="B733" s="184" t="s">
        <v>393</v>
      </c>
      <c r="C733" s="185"/>
      <c r="D733" s="185"/>
      <c r="E733" s="185"/>
      <c r="F733" s="299"/>
      <c r="G733" s="192">
        <v>1.26</v>
      </c>
      <c r="H733" s="186"/>
      <c r="I733" s="185"/>
      <c r="J733" s="185"/>
      <c r="K733" s="201">
        <f>K732*G733</f>
        <v>1.9051199999999999</v>
      </c>
    </row>
    <row r="734" spans="2:11">
      <c r="B734" s="209"/>
      <c r="C734" s="210"/>
      <c r="D734" s="210"/>
      <c r="E734" s="210"/>
      <c r="F734" s="210"/>
      <c r="G734" s="194" t="s">
        <v>248</v>
      </c>
      <c r="H734" s="195"/>
      <c r="I734" s="383"/>
      <c r="J734" s="219"/>
      <c r="K734" s="384">
        <f>SUM(K732:K733)</f>
        <v>3.4171199999999997</v>
      </c>
    </row>
    <row r="735" spans="2:11">
      <c r="B735" s="448" t="s">
        <v>282</v>
      </c>
      <c r="C735" s="448"/>
      <c r="D735" s="448"/>
      <c r="E735" s="448"/>
      <c r="F735" s="186" t="s">
        <v>221</v>
      </c>
      <c r="G735" s="222" t="s">
        <v>249</v>
      </c>
      <c r="H735" s="270" t="s">
        <v>223</v>
      </c>
      <c r="I735" s="439" t="s">
        <v>224</v>
      </c>
      <c r="J735" s="439"/>
      <c r="K735" s="439"/>
    </row>
    <row r="736" spans="2:11">
      <c r="B736" s="209" t="s">
        <v>461</v>
      </c>
      <c r="C736" s="210"/>
      <c r="D736" s="210"/>
      <c r="E736" s="211"/>
      <c r="F736" s="198" t="s">
        <v>417</v>
      </c>
      <c r="G736" s="214">
        <v>0.05</v>
      </c>
      <c r="H736" s="385">
        <v>80</v>
      </c>
      <c r="I736" s="255"/>
      <c r="J736" s="256"/>
      <c r="K736" s="386">
        <f>ROUND(G736*H736,2)</f>
        <v>4</v>
      </c>
    </row>
    <row r="737" spans="2:11">
      <c r="B737" s="184" t="s">
        <v>459</v>
      </c>
      <c r="C737" s="185"/>
      <c r="D737" s="185"/>
      <c r="E737" s="243"/>
      <c r="F737" s="198" t="s">
        <v>417</v>
      </c>
      <c r="G737" s="326">
        <v>0.15</v>
      </c>
      <c r="H737" s="325">
        <v>77</v>
      </c>
      <c r="I737" s="199"/>
      <c r="J737" s="200"/>
      <c r="K737" s="387">
        <f>ROUND(G737*H737,2)</f>
        <v>11.55</v>
      </c>
    </row>
    <row r="738" spans="2:11">
      <c r="B738" s="184" t="s">
        <v>460</v>
      </c>
      <c r="C738" s="185"/>
      <c r="D738" s="185"/>
      <c r="E738" s="243"/>
      <c r="F738" s="198" t="s">
        <v>219</v>
      </c>
      <c r="G738" s="213">
        <v>0.5</v>
      </c>
      <c r="H738" s="325">
        <v>0.45</v>
      </c>
      <c r="I738" s="199"/>
      <c r="J738" s="200"/>
      <c r="K738" s="387">
        <f>ROUND(G738*H738,2)</f>
        <v>0.23</v>
      </c>
    </row>
    <row r="739" spans="2:11">
      <c r="B739" s="184"/>
      <c r="C739" s="185"/>
      <c r="D739" s="185"/>
      <c r="E739" s="243"/>
      <c r="F739" s="198"/>
      <c r="G739" s="213"/>
      <c r="H739" s="325"/>
      <c r="I739" s="199"/>
      <c r="J739" s="200"/>
      <c r="K739" s="387">
        <f>ROUND(G739*H739,2)</f>
        <v>0</v>
      </c>
    </row>
    <row r="740" spans="2:11">
      <c r="B740" s="209"/>
      <c r="C740" s="210"/>
      <c r="D740" s="210"/>
      <c r="E740" s="210"/>
      <c r="F740" s="380"/>
      <c r="G740" s="194" t="s">
        <v>232</v>
      </c>
      <c r="H740" s="195"/>
      <c r="I740" s="388"/>
      <c r="J740" s="389"/>
      <c r="K740" s="384">
        <f>SUM(K736:K739)</f>
        <v>15.780000000000001</v>
      </c>
    </row>
    <row r="741" spans="2:11">
      <c r="B741" s="184" t="s">
        <v>407</v>
      </c>
      <c r="C741" s="185"/>
      <c r="D741" s="185"/>
      <c r="E741" s="185"/>
      <c r="F741" s="185"/>
      <c r="G741" s="185"/>
      <c r="H741" s="193"/>
      <c r="I741" s="185"/>
      <c r="J741" s="185"/>
      <c r="K741" s="390">
        <f>SUM(K734+K740)</f>
        <v>19.197120000000002</v>
      </c>
    </row>
    <row r="742" spans="2:11">
      <c r="B742" s="209" t="s">
        <v>234</v>
      </c>
      <c r="C742" s="210"/>
      <c r="D742" s="203">
        <v>0.3</v>
      </c>
      <c r="E742" s="210"/>
      <c r="F742" s="210"/>
      <c r="G742" s="210"/>
      <c r="H742" s="218"/>
      <c r="I742" s="210"/>
      <c r="J742" s="185"/>
      <c r="K742" s="390">
        <f>ROUND(K741*D742,2)</f>
        <v>5.76</v>
      </c>
    </row>
    <row r="743" spans="2:11">
      <c r="B743" s="436" t="s">
        <v>235</v>
      </c>
      <c r="C743" s="436"/>
      <c r="D743" s="436"/>
      <c r="E743" s="436"/>
      <c r="F743" s="436"/>
      <c r="G743" s="436"/>
      <c r="H743" s="436"/>
      <c r="I743" s="436"/>
      <c r="J743" s="436"/>
      <c r="K743" s="384">
        <f>SUM(K741:K742)</f>
        <v>24.957120000000003</v>
      </c>
    </row>
  </sheetData>
  <mergeCells count="271">
    <mergeCell ref="I729:K729"/>
    <mergeCell ref="B735:E735"/>
    <mergeCell ref="I735:K735"/>
    <mergeCell ref="B743:J743"/>
    <mergeCell ref="B696:J696"/>
    <mergeCell ref="I699:K699"/>
    <mergeCell ref="B704:E704"/>
    <mergeCell ref="I704:K704"/>
    <mergeCell ref="B709:J709"/>
    <mergeCell ref="I712:K712"/>
    <mergeCell ref="B718:E718"/>
    <mergeCell ref="I718:K718"/>
    <mergeCell ref="B726:J726"/>
    <mergeCell ref="B666:J666"/>
    <mergeCell ref="I669:K669"/>
    <mergeCell ref="B675:E675"/>
    <mergeCell ref="I675:K675"/>
    <mergeCell ref="I678:J678"/>
    <mergeCell ref="B681:J681"/>
    <mergeCell ref="I684:K684"/>
    <mergeCell ref="B690:E690"/>
    <mergeCell ref="I690:K690"/>
    <mergeCell ref="I638:K638"/>
    <mergeCell ref="B644:E644"/>
    <mergeCell ref="I644:K644"/>
    <mergeCell ref="I650:J650"/>
    <mergeCell ref="B653:J653"/>
    <mergeCell ref="I656:K656"/>
    <mergeCell ref="B661:E661"/>
    <mergeCell ref="I661:K661"/>
    <mergeCell ref="I663:J663"/>
    <mergeCell ref="I606:K606"/>
    <mergeCell ref="B612:E612"/>
    <mergeCell ref="I612:K612"/>
    <mergeCell ref="B619:J619"/>
    <mergeCell ref="I622:K622"/>
    <mergeCell ref="B628:E628"/>
    <mergeCell ref="I628:K628"/>
    <mergeCell ref="I632:J632"/>
    <mergeCell ref="B635:J635"/>
    <mergeCell ref="B577:E577"/>
    <mergeCell ref="I577:K577"/>
    <mergeCell ref="B587:J587"/>
    <mergeCell ref="D589:I589"/>
    <mergeCell ref="I590:K590"/>
    <mergeCell ref="B596:E596"/>
    <mergeCell ref="I596:K596"/>
    <mergeCell ref="B603:J603"/>
    <mergeCell ref="D605:I605"/>
    <mergeCell ref="B555:J555"/>
    <mergeCell ref="D557:I557"/>
    <mergeCell ref="B558:E558"/>
    <mergeCell ref="I558:K558"/>
    <mergeCell ref="B563:E563"/>
    <mergeCell ref="I563:K563"/>
    <mergeCell ref="B568:J568"/>
    <mergeCell ref="D570:I570"/>
    <mergeCell ref="I571:K571"/>
    <mergeCell ref="I524:K524"/>
    <mergeCell ref="B530:E530"/>
    <mergeCell ref="I530:K530"/>
    <mergeCell ref="B538:J538"/>
    <mergeCell ref="D540:I540"/>
    <mergeCell ref="I541:K541"/>
    <mergeCell ref="B547:E547"/>
    <mergeCell ref="I547:K547"/>
    <mergeCell ref="B551:E551"/>
    <mergeCell ref="B500:E500"/>
    <mergeCell ref="I500:K500"/>
    <mergeCell ref="B506:J506"/>
    <mergeCell ref="D508:I508"/>
    <mergeCell ref="I509:K509"/>
    <mergeCell ref="B515:E515"/>
    <mergeCell ref="I515:K515"/>
    <mergeCell ref="B521:J521"/>
    <mergeCell ref="D523:I523"/>
    <mergeCell ref="B475:J475"/>
    <mergeCell ref="D477:I477"/>
    <mergeCell ref="I478:K478"/>
    <mergeCell ref="B484:E484"/>
    <mergeCell ref="I484:K484"/>
    <mergeCell ref="B485:E485"/>
    <mergeCell ref="B491:J491"/>
    <mergeCell ref="D493:I493"/>
    <mergeCell ref="I494:K494"/>
    <mergeCell ref="B446:J446"/>
    <mergeCell ref="D448:I448"/>
    <mergeCell ref="I449:K449"/>
    <mergeCell ref="B455:E455"/>
    <mergeCell ref="I455:K455"/>
    <mergeCell ref="B461:J461"/>
    <mergeCell ref="I464:K464"/>
    <mergeCell ref="B470:E470"/>
    <mergeCell ref="I470:K470"/>
    <mergeCell ref="B413:J413"/>
    <mergeCell ref="I416:K416"/>
    <mergeCell ref="B422:E422"/>
    <mergeCell ref="I422:K422"/>
    <mergeCell ref="B430:J430"/>
    <mergeCell ref="D432:I432"/>
    <mergeCell ref="I433:K433"/>
    <mergeCell ref="B439:E439"/>
    <mergeCell ref="I439:K439"/>
    <mergeCell ref="B377:E377"/>
    <mergeCell ref="I377:K377"/>
    <mergeCell ref="B383:J383"/>
    <mergeCell ref="I386:K386"/>
    <mergeCell ref="B392:E392"/>
    <mergeCell ref="I392:K392"/>
    <mergeCell ref="B398:J398"/>
    <mergeCell ref="I401:K401"/>
    <mergeCell ref="B407:E407"/>
    <mergeCell ref="I407:K407"/>
    <mergeCell ref="B358:C358"/>
    <mergeCell ref="B359:C359"/>
    <mergeCell ref="B360:C360"/>
    <mergeCell ref="B361:C361"/>
    <mergeCell ref="B363:C363"/>
    <mergeCell ref="B364:C364"/>
    <mergeCell ref="B368:J368"/>
    <mergeCell ref="D370:I370"/>
    <mergeCell ref="I371:K371"/>
    <mergeCell ref="B347:J347"/>
    <mergeCell ref="D349:I349"/>
    <mergeCell ref="I350:K350"/>
    <mergeCell ref="B356:C357"/>
    <mergeCell ref="D356:D357"/>
    <mergeCell ref="E356:E357"/>
    <mergeCell ref="F356:G356"/>
    <mergeCell ref="H356:I356"/>
    <mergeCell ref="J356:K357"/>
    <mergeCell ref="D328:I328"/>
    <mergeCell ref="B329:C330"/>
    <mergeCell ref="D329:D330"/>
    <mergeCell ref="E329:E330"/>
    <mergeCell ref="F329:G329"/>
    <mergeCell ref="H329:I329"/>
    <mergeCell ref="J329:K330"/>
    <mergeCell ref="I335:K335"/>
    <mergeCell ref="B340:E340"/>
    <mergeCell ref="I340:K340"/>
    <mergeCell ref="I297:K297"/>
    <mergeCell ref="B303:E303"/>
    <mergeCell ref="I303:K303"/>
    <mergeCell ref="B310:J310"/>
    <mergeCell ref="D312:I312"/>
    <mergeCell ref="I313:K313"/>
    <mergeCell ref="B319:E319"/>
    <mergeCell ref="I319:K319"/>
    <mergeCell ref="B326:J326"/>
    <mergeCell ref="B281:C281"/>
    <mergeCell ref="B282:C282"/>
    <mergeCell ref="B283:C283"/>
    <mergeCell ref="B284:C284"/>
    <mergeCell ref="B286:C286"/>
    <mergeCell ref="B287:C287"/>
    <mergeCell ref="B290:C290"/>
    <mergeCell ref="B294:J294"/>
    <mergeCell ref="D296:I296"/>
    <mergeCell ref="B262:C262"/>
    <mergeCell ref="B263:C263"/>
    <mergeCell ref="B265:C265"/>
    <mergeCell ref="B266:C266"/>
    <mergeCell ref="B270:J270"/>
    <mergeCell ref="D272:I272"/>
    <mergeCell ref="I273:K273"/>
    <mergeCell ref="B279:C280"/>
    <mergeCell ref="D279:D280"/>
    <mergeCell ref="E279:E280"/>
    <mergeCell ref="F279:G279"/>
    <mergeCell ref="H279:I279"/>
    <mergeCell ref="J279:K280"/>
    <mergeCell ref="I252:K252"/>
    <mergeCell ref="B258:C259"/>
    <mergeCell ref="D258:D259"/>
    <mergeCell ref="E258:E259"/>
    <mergeCell ref="F258:G258"/>
    <mergeCell ref="H258:I258"/>
    <mergeCell ref="J258:K259"/>
    <mergeCell ref="B260:C260"/>
    <mergeCell ref="B261:C261"/>
    <mergeCell ref="B240:C241"/>
    <mergeCell ref="D240:D241"/>
    <mergeCell ref="E240:E241"/>
    <mergeCell ref="F240:G240"/>
    <mergeCell ref="H240:I240"/>
    <mergeCell ref="J240:K241"/>
    <mergeCell ref="I244:K244"/>
    <mergeCell ref="B249:J249"/>
    <mergeCell ref="D251:I251"/>
    <mergeCell ref="B227:C228"/>
    <mergeCell ref="D227:D228"/>
    <mergeCell ref="E227:E228"/>
    <mergeCell ref="F227:G227"/>
    <mergeCell ref="H227:I227"/>
    <mergeCell ref="J227:K228"/>
    <mergeCell ref="B232:E232"/>
    <mergeCell ref="I232:K232"/>
    <mergeCell ref="B237:J237"/>
    <mergeCell ref="I207:K207"/>
    <mergeCell ref="B213:E213"/>
    <mergeCell ref="I213:K213"/>
    <mergeCell ref="B215:E215"/>
    <mergeCell ref="G215:H215"/>
    <mergeCell ref="I215:J215"/>
    <mergeCell ref="K215:K216"/>
    <mergeCell ref="B217:E217"/>
    <mergeCell ref="B224:J224"/>
    <mergeCell ref="I187:K187"/>
    <mergeCell ref="B193:E193"/>
    <mergeCell ref="I193:K193"/>
    <mergeCell ref="B195:E195"/>
    <mergeCell ref="G195:H195"/>
    <mergeCell ref="I195:J195"/>
    <mergeCell ref="K195:K196"/>
    <mergeCell ref="B197:E197"/>
    <mergeCell ref="B204:J204"/>
    <mergeCell ref="B174:C175"/>
    <mergeCell ref="D174:D175"/>
    <mergeCell ref="E174:E175"/>
    <mergeCell ref="F174:G174"/>
    <mergeCell ref="H174:I174"/>
    <mergeCell ref="J174:K175"/>
    <mergeCell ref="B179:E179"/>
    <mergeCell ref="I179:K179"/>
    <mergeCell ref="B184:J184"/>
    <mergeCell ref="B159:E159"/>
    <mergeCell ref="I159:K159"/>
    <mergeCell ref="B161:E161"/>
    <mergeCell ref="G161:H161"/>
    <mergeCell ref="I161:J161"/>
    <mergeCell ref="K161:K162"/>
    <mergeCell ref="B163:E163"/>
    <mergeCell ref="B170:J170"/>
    <mergeCell ref="B171:J171"/>
    <mergeCell ref="D128:I128"/>
    <mergeCell ref="I129:K129"/>
    <mergeCell ref="B137:E137"/>
    <mergeCell ref="I137:K137"/>
    <mergeCell ref="B143:E143"/>
    <mergeCell ref="I143:K143"/>
    <mergeCell ref="B149:J149"/>
    <mergeCell ref="B150:J150"/>
    <mergeCell ref="I153:K153"/>
    <mergeCell ref="B94:J94"/>
    <mergeCell ref="I97:K97"/>
    <mergeCell ref="B105:E105"/>
    <mergeCell ref="I105:K105"/>
    <mergeCell ref="B111:J111"/>
    <mergeCell ref="I114:K114"/>
    <mergeCell ref="B120:E120"/>
    <mergeCell ref="I120:K120"/>
    <mergeCell ref="B125:J125"/>
    <mergeCell ref="B31:J31"/>
    <mergeCell ref="I34:K34"/>
    <mergeCell ref="I40:K40"/>
    <mergeCell ref="B59:J59"/>
    <mergeCell ref="B69:E69"/>
    <mergeCell ref="B78:J78"/>
    <mergeCell ref="I81:K81"/>
    <mergeCell ref="B86:E86"/>
    <mergeCell ref="I86:K86"/>
    <mergeCell ref="B5:E5"/>
    <mergeCell ref="B6:K6"/>
    <mergeCell ref="D7:I7"/>
    <mergeCell ref="I8:K8"/>
    <mergeCell ref="I12:K12"/>
    <mergeCell ref="B18:J18"/>
    <mergeCell ref="D20:I20"/>
    <mergeCell ref="I21:K21"/>
    <mergeCell ref="I25:K25"/>
  </mergeCells>
  <pageMargins left="0.78749999999999998" right="0.78749999999999998" top="0.98402777777777795" bottom="0.98472222222222205" header="0.51180555555555496" footer="0.49236111111111103"/>
  <pageSetup paperSize="9" scale="87" orientation="portrait" horizontalDpi="300" verticalDpi="300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1"/>
  <sheetViews>
    <sheetView showZeros="0" view="pageBreakPreview" zoomScaleNormal="100" workbookViewId="0">
      <selection activeCell="A3" sqref="A3"/>
    </sheetView>
  </sheetViews>
  <sheetFormatPr defaultColWidth="8.7109375" defaultRowHeight="12.75"/>
  <cols>
    <col min="1" max="1" width="13.28515625" customWidth="1"/>
    <col min="2" max="8" width="11.28515625" customWidth="1"/>
  </cols>
  <sheetData>
    <row r="1" spans="1:7">
      <c r="A1" s="464" t="s">
        <v>462</v>
      </c>
      <c r="B1" s="464"/>
      <c r="C1" s="464"/>
      <c r="D1" s="464"/>
      <c r="E1" s="464"/>
      <c r="F1" s="174"/>
      <c r="G1" s="174"/>
    </row>
    <row r="2" spans="1:7">
      <c r="A2" s="465" t="s">
        <v>139</v>
      </c>
      <c r="B2" s="465"/>
      <c r="C2" s="465"/>
      <c r="D2" s="465"/>
      <c r="E2" s="174"/>
      <c r="F2" s="174"/>
      <c r="G2" s="174"/>
    </row>
    <row r="3" spans="1:7">
      <c r="A3" s="254"/>
      <c r="B3" s="174"/>
      <c r="C3" s="174"/>
      <c r="D3" s="174"/>
      <c r="E3" s="174"/>
      <c r="F3" s="174"/>
      <c r="G3" s="174"/>
    </row>
    <row r="4" spans="1:7">
      <c r="A4" s="177" t="s">
        <v>463</v>
      </c>
      <c r="B4" s="417">
        <v>1.26</v>
      </c>
      <c r="C4" s="174"/>
      <c r="D4" s="174"/>
      <c r="E4" s="174"/>
      <c r="F4" s="174"/>
      <c r="G4" s="174"/>
    </row>
    <row r="5" spans="1:7">
      <c r="A5" s="177" t="s">
        <v>464</v>
      </c>
      <c r="B5" s="417">
        <v>0.3</v>
      </c>
      <c r="C5" s="174"/>
      <c r="D5" s="174"/>
      <c r="E5" s="174"/>
      <c r="F5" s="174"/>
      <c r="G5" s="174"/>
    </row>
    <row r="7" spans="1:7">
      <c r="A7" s="177" t="s">
        <v>465</v>
      </c>
      <c r="B7" s="418" t="s">
        <v>466</v>
      </c>
      <c r="D7" s="419">
        <v>2.56</v>
      </c>
    </row>
    <row r="8" spans="1:7">
      <c r="B8" s="418" t="s">
        <v>245</v>
      </c>
      <c r="D8" s="419">
        <v>1.64</v>
      </c>
    </row>
    <row r="9" spans="1:7">
      <c r="B9" s="418" t="s">
        <v>298</v>
      </c>
      <c r="D9" s="419">
        <v>2.81</v>
      </c>
    </row>
    <row r="10" spans="1:7">
      <c r="A10" s="418" t="s">
        <v>467</v>
      </c>
      <c r="B10" s="418" t="s">
        <v>468</v>
      </c>
      <c r="D10" s="419">
        <v>1.9</v>
      </c>
    </row>
    <row r="11" spans="1:7">
      <c r="A11" s="418" t="s">
        <v>469</v>
      </c>
      <c r="D11" s="419">
        <v>2.81</v>
      </c>
    </row>
  </sheetData>
  <mergeCells count="2">
    <mergeCell ref="A1:E1"/>
    <mergeCell ref="A2:D2"/>
  </mergeCells>
  <pageMargins left="0.78749999999999998" right="0.78749999999999998" top="0.98402777777777795" bottom="0.98402777777777795" header="0.51180555555555496" footer="0.51180555555555496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7</vt:i4>
      </vt:variant>
      <vt:variant>
        <vt:lpstr>Intervalos Nomeados</vt:lpstr>
      </vt:variant>
      <vt:variant>
        <vt:i4>11</vt:i4>
      </vt:variant>
    </vt:vector>
  </HeadingPairs>
  <TitlesOfParts>
    <vt:vector size="18" baseType="lpstr">
      <vt:lpstr>BDI equipamento</vt:lpstr>
      <vt:lpstr>BDI obra 26</vt:lpstr>
      <vt:lpstr>ENCARGOS</vt:lpstr>
      <vt:lpstr>CRONOGRAMA</vt:lpstr>
      <vt:lpstr>Sinalização </vt:lpstr>
      <vt:lpstr>Composição de Preços Unitários</vt:lpstr>
      <vt:lpstr>Folha Rosto Comp. P. Unit. </vt:lpstr>
      <vt:lpstr>'BDI equipamento'!Area_de_impressao</vt:lpstr>
      <vt:lpstr>'BDI obra 26'!Area_de_impressao</vt:lpstr>
      <vt:lpstr>'Composição de Preços Unitários'!Area_de_impressao</vt:lpstr>
      <vt:lpstr>CRONOGRAMA!Area_de_impressao</vt:lpstr>
      <vt:lpstr>ENCARGOS!Area_de_impressao</vt:lpstr>
      <vt:lpstr>'Sinalização '!Area_de_impressao</vt:lpstr>
      <vt:lpstr>'BDI equipamento'!Titulos_de_impressao</vt:lpstr>
      <vt:lpstr>'BDI obra 26'!Titulos_de_impressao</vt:lpstr>
      <vt:lpstr>'Composição de Preços Unitários'!Titulos_de_impressao</vt:lpstr>
      <vt:lpstr>ENCARGOS!Titulos_de_impressao</vt:lpstr>
      <vt:lpstr>'Sinalização '!Titulos_de_impressao</vt:lpstr>
    </vt:vector>
  </TitlesOfParts>
  <Company>Residencia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Ciclovia Av. José Bonifácio - Belém/PA</dc:title>
  <dc:subject>Orçamento, Cronograma, Quantitativos,Composição de Custos, Orçamento Elétrico, Hidro sanitário, Drenagem</dc:subject>
  <dc:creator>Simone de Fátima Martins da Silva</dc:creator>
  <dc:description/>
  <cp:lastModifiedBy>User</cp:lastModifiedBy>
  <cp:revision>2</cp:revision>
  <cp:lastPrinted>2023-10-25T11:59:50Z</cp:lastPrinted>
  <dcterms:created xsi:type="dcterms:W3CDTF">1999-11-23T21:33:20Z</dcterms:created>
  <dcterms:modified xsi:type="dcterms:W3CDTF">2024-01-30T11:19:37Z</dcterms:modified>
  <dc:language>pt-BR</dc:language>
</cp:coreProperties>
</file>